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9.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20.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2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27.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28.xml" ContentType="application/vnd.openxmlformats-officedocument.drawingml.chart+xml"/>
  <Override PartName="/xl/drawings/drawing28.xml" ContentType="application/vnd.openxmlformats-officedocument.drawing+xml"/>
  <Override PartName="/xl/charts/chart29.xml" ContentType="application/vnd.openxmlformats-officedocument.drawingml.chart+xml"/>
  <Override PartName="/xl/drawings/drawing29.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3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9090" yWindow="2205" windowWidth="14970" windowHeight="9810" tabRatio="757"/>
  </bookViews>
  <sheets>
    <sheet name="Index" sheetId="29" r:id="rId1"/>
    <sheet name="Data Sources" sheetId="30" r:id="rId2"/>
    <sheet name="How To Use" sheetId="31" r:id="rId3"/>
    <sheet name="Comparison 2015 and 2016" sheetId="32" r:id="rId4"/>
    <sheet name="US and A$" sheetId="33" r:id="rId5"/>
    <sheet name="Trade Weighted Index" sheetId="34" r:id="rId6"/>
    <sheet name="RBA spreadsheet of Comm prices" sheetId="35" r:id="rId7"/>
    <sheet name="Quick Resources Facts" sheetId="38" r:id="rId8"/>
    <sheet name="Exports" sheetId="36" r:id="rId9"/>
    <sheet name="WA vs Australia vs The World" sheetId="37" r:id="rId10"/>
    <sheet name="Mining Investment" sheetId="39" r:id="rId11"/>
    <sheet name="New Capital Expenditure" sheetId="40" r:id="rId12"/>
    <sheet name="Mineral Exploration" sheetId="41" r:id="rId13"/>
    <sheet name="Min. Expl. Major Commodities" sheetId="42" r:id="rId14"/>
    <sheet name="Mineral Exploration Drilling" sheetId="43" r:id="rId15"/>
    <sheet name="Petroleum Exploration" sheetId="44" r:id="rId16"/>
    <sheet name="Royalty Receipts - Latest" sheetId="45" r:id="rId17"/>
    <sheet name="Royalties - Historic" sheetId="46" r:id="rId18"/>
    <sheet name="Employment by Site - Minerals" sheetId="47" r:id="rId19"/>
    <sheet name="Employment by Site - Petroleum" sheetId="48" r:id="rId20"/>
    <sheet name="Employment by commodity" sheetId="49" r:id="rId21"/>
    <sheet name="Calendar Year Employment" sheetId="54" r:id="rId22"/>
    <sheet name="Financial Year Employment" sheetId="55" r:id="rId23"/>
    <sheet name="Historic Employment Monthly" sheetId="56" r:id="rId24"/>
    <sheet name="Cal. Year Employment Pre 2000" sheetId="57" r:id="rId25"/>
    <sheet name="Data" sheetId="18" state="hidden" r:id="rId26"/>
  </sheets>
  <externalReferences>
    <externalReference r:id="rId27"/>
  </externalReferences>
  <definedNames>
    <definedName name="_GoBack" localSheetId="18">'Employment by Site - Minerals'!$B$27</definedName>
    <definedName name="A1954791L">'Mineral Exploration Drilling'!#REF!,'Mineral Exploration Drilling'!#REF!</definedName>
    <definedName name="A1954791L_Data">'Mineral Exploration Drilling'!#REF!</definedName>
    <definedName name="A1954791L_Latest">'Mineral Exploration Drilling'!#REF!</definedName>
    <definedName name="A1954799F">'Mineral Exploration Drilling'!#REF!,'Mineral Exploration Drilling'!#REF!</definedName>
    <definedName name="A1954799F_Data">'Mineral Exploration Drilling'!#REF!</definedName>
    <definedName name="A1954799F_Latest">'Mineral Exploration Drilling'!#REF!</definedName>
    <definedName name="A1954807V">'Mineral Exploration Drilling'!#REF!,'Mineral Exploration Drilling'!#REF!</definedName>
    <definedName name="A1954807V_Data">'Mineral Exploration Drilling'!#REF!</definedName>
    <definedName name="A1954807V_Latest">'Mineral Exploration Drilling'!#REF!</definedName>
    <definedName name="A1954815V">'Mineral Exploration Drilling'!#REF!,'Mineral Exploration Drilling'!#REF!</definedName>
    <definedName name="A1954815V_Data">'Mineral Exploration Drilling'!#REF!</definedName>
    <definedName name="A1954815V_Latest">'Mineral Exploration Drilling'!#REF!</definedName>
    <definedName name="A2266841J">'Mineral Exploration Drilling'!#REF!,'Mineral Exploration Drilling'!#REF!</definedName>
    <definedName name="A2266841J_Data">'Mineral Exploration Drilling'!#REF!</definedName>
    <definedName name="A2266841J_Latest">'Mineral Exploration Drilling'!#REF!</definedName>
    <definedName name="A2266842K">'Mineral Exploration Drilling'!#REF!,'Mineral Exploration Drilling'!#REF!</definedName>
    <definedName name="A2266842K_Data">'Mineral Exploration Drilling'!#REF!</definedName>
    <definedName name="A2266842K_Latest">'Mineral Exploration Drilling'!#REF!</definedName>
    <definedName name="A2266843L">'Mineral Exploration Drilling'!#REF!,'Mineral Exploration Drilling'!#REF!</definedName>
    <definedName name="A2266843L_Data">'Mineral Exploration Drilling'!#REF!</definedName>
    <definedName name="A2266843L_Latest">'Mineral Exploration Drilling'!#REF!</definedName>
    <definedName name="A2266844R">'Mineral Exploration Drilling'!#REF!,'Mineral Exploration Drilling'!#REF!</definedName>
    <definedName name="A2266844R_Data">'Mineral Exploration Drilling'!#REF!</definedName>
    <definedName name="A2266844R_Latest">'Mineral Exploration Drilling'!#REF!</definedName>
    <definedName name="A2266845T">'Mineral Exploration Drilling'!#REF!,'Mineral Exploration Drilling'!#REF!</definedName>
    <definedName name="A2266845T_Data">'Mineral Exploration Drilling'!#REF!</definedName>
    <definedName name="A2266845T_Latest">'Mineral Exploration Drilling'!#REF!</definedName>
    <definedName name="A2266846V">'Mineral Exploration Drilling'!#REF!,'Mineral Exploration Drilling'!#REF!</definedName>
    <definedName name="A2266846V_Data">'Mineral Exploration Drilling'!#REF!</definedName>
    <definedName name="A2266846V_Latest">'Mineral Exploration Drilling'!#REF!</definedName>
    <definedName name="Date_Range">'Mineral Exploration Drilling'!#REF!,'Mineral Exploration Drilling'!#REF!</definedName>
    <definedName name="Date_Range_Data">'Mineral Exploration Drilling'!#REF!</definedName>
    <definedName name="GthanEQ2">[1]Data!$A$3</definedName>
    <definedName name="LGthanEQ2" localSheetId="3">[1]Data!#REF!</definedName>
    <definedName name="LGthanEQ2" localSheetId="22">[1]Data!#REF!</definedName>
    <definedName name="LGthanEQ2">[1]Data!#REF!</definedName>
    <definedName name="LthanEQ2">[1]Data!$A$4</definedName>
    <definedName name="_xlnm.Print_Area" localSheetId="3">'Comparison 2015 and 2016'!$A$1:$R$56</definedName>
    <definedName name="_xlnm.Print_Area" localSheetId="6">'RBA spreadsheet of Comm prices'!$A$400:$L$427</definedName>
  </definedNames>
  <calcPr calcId="145621"/>
</workbook>
</file>

<file path=xl/calcChain.xml><?xml version="1.0" encoding="utf-8"?>
<calcChain xmlns="http://schemas.openxmlformats.org/spreadsheetml/2006/main">
  <c r="B14" i="38" l="1"/>
  <c r="B27" i="38" l="1"/>
  <c r="A33" i="47" l="1"/>
  <c r="B41" i="38" l="1"/>
  <c r="B40" i="38"/>
  <c r="B36" i="38"/>
  <c r="A485" i="47" l="1"/>
  <c r="A479" i="47"/>
  <c r="A477" i="47"/>
  <c r="A475" i="47"/>
  <c r="G475" i="47" s="1"/>
  <c r="A466" i="47"/>
  <c r="A462" i="47"/>
  <c r="A460" i="47"/>
  <c r="A453" i="47"/>
  <c r="A445" i="47"/>
  <c r="A443" i="47"/>
  <c r="A441" i="47"/>
  <c r="A439" i="47"/>
  <c r="A412" i="47"/>
  <c r="A402" i="47"/>
  <c r="A398" i="47"/>
  <c r="A364" i="47"/>
  <c r="A315" i="47"/>
  <c r="A308" i="47"/>
  <c r="A190" i="47"/>
  <c r="A186" i="47"/>
  <c r="A172" i="47"/>
  <c r="A170" i="47"/>
  <c r="A166" i="47"/>
  <c r="A36" i="47"/>
  <c r="A21" i="47"/>
  <c r="A26" i="47"/>
  <c r="A24" i="47"/>
  <c r="A13" i="47"/>
  <c r="D485" i="47" s="1"/>
  <c r="A8" i="47"/>
  <c r="G33" i="47" l="1"/>
  <c r="D33" i="47"/>
  <c r="E33" i="47"/>
  <c r="F33" i="47"/>
  <c r="G460" i="47"/>
  <c r="G479" i="47"/>
  <c r="G485" i="47"/>
  <c r="D477" i="47"/>
  <c r="G477" i="47"/>
  <c r="E485" i="47"/>
  <c r="F485" i="47"/>
  <c r="D479" i="47"/>
  <c r="E479" i="47"/>
  <c r="E460" i="47"/>
  <c r="F479" i="47"/>
  <c r="G466" i="47"/>
  <c r="F460" i="47"/>
  <c r="F466" i="47"/>
  <c r="E477" i="47"/>
  <c r="F477" i="47"/>
  <c r="D466" i="47"/>
  <c r="E466" i="47"/>
  <c r="D462" i="47"/>
  <c r="E475" i="47"/>
  <c r="G462" i="47"/>
  <c r="F475" i="47"/>
  <c r="D475" i="47"/>
  <c r="D460" i="47"/>
  <c r="E462" i="47"/>
  <c r="F462" i="47"/>
  <c r="D441" i="47"/>
  <c r="D453" i="47"/>
  <c r="G443" i="47"/>
  <c r="D443" i="47"/>
  <c r="G445" i="47"/>
  <c r="G453" i="47"/>
  <c r="F398" i="47"/>
  <c r="D445" i="47"/>
  <c r="E453" i="47"/>
  <c r="F453" i="47"/>
  <c r="F441" i="47"/>
  <c r="G441" i="47"/>
  <c r="E445" i="47"/>
  <c r="F445" i="47"/>
  <c r="E441" i="47"/>
  <c r="E443" i="47"/>
  <c r="F443" i="47"/>
  <c r="D439" i="47"/>
  <c r="G439" i="47"/>
  <c r="G398" i="47"/>
  <c r="E439" i="47"/>
  <c r="F439" i="47"/>
  <c r="G402" i="47"/>
  <c r="D412" i="47"/>
  <c r="G412" i="47"/>
  <c r="E412" i="47"/>
  <c r="F412" i="47"/>
  <c r="F364" i="47"/>
  <c r="D402" i="47"/>
  <c r="F402" i="47"/>
  <c r="D398" i="47"/>
  <c r="E398" i="47"/>
  <c r="E315" i="47"/>
  <c r="F315" i="47"/>
  <c r="E402" i="47"/>
  <c r="D186" i="47"/>
  <c r="G364" i="47"/>
  <c r="D315" i="47"/>
  <c r="E364" i="47"/>
  <c r="D364" i="47"/>
  <c r="D308" i="47"/>
  <c r="G315" i="47"/>
  <c r="G308" i="47"/>
  <c r="E308" i="47"/>
  <c r="F308" i="47"/>
  <c r="D166" i="47"/>
  <c r="E190" i="47"/>
  <c r="G186" i="47"/>
  <c r="F190" i="47"/>
  <c r="G190" i="47"/>
  <c r="G172" i="47"/>
  <c r="D190" i="47"/>
  <c r="E166" i="47"/>
  <c r="D170" i="47"/>
  <c r="E170" i="47"/>
  <c r="E186" i="47"/>
  <c r="F186" i="47"/>
  <c r="G170" i="47"/>
  <c r="D172" i="47"/>
  <c r="E172" i="47"/>
  <c r="F172" i="47"/>
  <c r="F170" i="47"/>
  <c r="D36" i="47"/>
  <c r="G166" i="47"/>
  <c r="F166" i="47"/>
  <c r="G36" i="47"/>
  <c r="E36" i="47"/>
  <c r="F36" i="47"/>
  <c r="E26" i="47"/>
  <c r="G21" i="47"/>
  <c r="D21" i="47"/>
  <c r="E21" i="47"/>
  <c r="F21" i="47"/>
  <c r="F24" i="47"/>
  <c r="F26" i="47"/>
  <c r="G26" i="47"/>
  <c r="D26" i="47"/>
  <c r="G24" i="47"/>
  <c r="G8" i="47"/>
  <c r="F8" i="47"/>
  <c r="D24" i="47"/>
  <c r="E24" i="47"/>
  <c r="D13" i="47"/>
  <c r="E13" i="47"/>
  <c r="D8" i="47"/>
  <c r="F13" i="47"/>
  <c r="E8" i="47"/>
  <c r="G13" i="47"/>
  <c r="N4" i="36"/>
  <c r="N3" i="36"/>
  <c r="O4" i="36"/>
  <c r="O3" i="36"/>
  <c r="O1" i="36"/>
  <c r="N1" i="36"/>
  <c r="N2" i="36"/>
  <c r="F486" i="47" l="1"/>
  <c r="G486" i="47"/>
  <c r="H29" i="36"/>
  <c r="H30" i="36"/>
  <c r="H31" i="36"/>
  <c r="H32" i="36"/>
  <c r="H33" i="36"/>
  <c r="H34" i="36"/>
  <c r="H35" i="36"/>
  <c r="H36" i="36"/>
  <c r="I2" i="40"/>
  <c r="I16" i="40"/>
  <c r="I2" i="39"/>
  <c r="I16" i="39"/>
  <c r="I11" i="37" l="1"/>
  <c r="C29" i="36" l="1"/>
  <c r="O2" i="36" s="1"/>
  <c r="K97" i="44" l="1"/>
  <c r="K98" i="44"/>
  <c r="L96" i="44"/>
  <c r="L97" i="44"/>
  <c r="L98" i="44"/>
  <c r="K121" i="41"/>
  <c r="L121" i="41"/>
  <c r="L122" i="41"/>
  <c r="K122" i="41"/>
  <c r="B45" i="38" l="1"/>
  <c r="B44" i="38"/>
  <c r="B49" i="38"/>
  <c r="B48" i="38"/>
  <c r="GF149" i="56"/>
  <c r="GG149" i="56"/>
  <c r="GH149" i="56"/>
  <c r="GI149" i="56"/>
  <c r="GJ149" i="56"/>
  <c r="GK149" i="56"/>
  <c r="D116" i="39" l="1"/>
  <c r="E116" i="39"/>
  <c r="D117" i="39"/>
  <c r="E117" i="39"/>
  <c r="E71" i="40"/>
  <c r="E72" i="40"/>
  <c r="AH37" i="46" l="1"/>
  <c r="AH36" i="46"/>
  <c r="G72" i="36" l="1"/>
  <c r="D62" i="36"/>
  <c r="D63" i="36"/>
  <c r="D64" i="36"/>
  <c r="D65" i="36"/>
  <c r="D66" i="36"/>
  <c r="D67" i="36"/>
  <c r="D68" i="36"/>
  <c r="D69" i="36"/>
  <c r="D70" i="36"/>
  <c r="D71" i="36"/>
  <c r="D72" i="36"/>
  <c r="R8" i="54"/>
  <c r="R9" i="54"/>
  <c r="R10" i="54"/>
  <c r="R11" i="54"/>
  <c r="R12" i="54"/>
  <c r="R13" i="54"/>
  <c r="R14" i="54"/>
  <c r="R15" i="54"/>
  <c r="R16" i="54"/>
  <c r="R17" i="54"/>
  <c r="R18" i="54"/>
  <c r="R19" i="54"/>
  <c r="R20" i="54"/>
  <c r="U16" i="54" l="1"/>
  <c r="R21" i="54"/>
  <c r="D29" i="36"/>
  <c r="K14" i="32" l="1"/>
  <c r="L14" i="32"/>
  <c r="K15" i="32"/>
  <c r="L15" i="32"/>
  <c r="K16" i="32"/>
  <c r="L16" i="32"/>
  <c r="K17" i="32"/>
  <c r="L17" i="32"/>
  <c r="K18" i="32"/>
  <c r="L18" i="32"/>
  <c r="K19" i="32"/>
  <c r="L19" i="32"/>
  <c r="K20" i="32"/>
  <c r="L20" i="32"/>
  <c r="K21" i="32"/>
  <c r="L21" i="32"/>
  <c r="K22" i="32"/>
  <c r="L22" i="32"/>
  <c r="K23" i="32"/>
  <c r="L23" i="32"/>
  <c r="A6" i="49" l="1"/>
  <c r="P18" i="57"/>
  <c r="O18" i="57"/>
  <c r="N18" i="57"/>
  <c r="M18" i="57"/>
  <c r="L18" i="57"/>
  <c r="K18" i="57"/>
  <c r="J18" i="57"/>
  <c r="I18" i="57"/>
  <c r="H18" i="57"/>
  <c r="G18" i="57"/>
  <c r="F18" i="57"/>
  <c r="E18" i="57"/>
  <c r="D18" i="57"/>
  <c r="C18" i="57"/>
  <c r="GE149" i="56"/>
  <c r="GD149" i="56"/>
  <c r="GC149" i="56"/>
  <c r="GB149" i="56"/>
  <c r="GA149" i="56"/>
  <c r="FZ149" i="56"/>
  <c r="FY149" i="56"/>
  <c r="FX149" i="56"/>
  <c r="FW149" i="56"/>
  <c r="FV149" i="56"/>
  <c r="FU149" i="56"/>
  <c r="FT149" i="56"/>
  <c r="FS149" i="56"/>
  <c r="FR149" i="56"/>
  <c r="FQ149" i="56"/>
  <c r="FP149" i="56"/>
  <c r="FO149" i="56"/>
  <c r="FN149" i="56"/>
  <c r="FM149" i="56"/>
  <c r="FL149" i="56"/>
  <c r="FK149" i="56"/>
  <c r="FJ149" i="56"/>
  <c r="FI149" i="56"/>
  <c r="FH149" i="56"/>
  <c r="FG149" i="56"/>
  <c r="FF149" i="56"/>
  <c r="FE149" i="56"/>
  <c r="FD149" i="56"/>
  <c r="FC149" i="56"/>
  <c r="FB149" i="56"/>
  <c r="FA149" i="56"/>
  <c r="EZ149" i="56"/>
  <c r="EY149" i="56"/>
  <c r="EX149" i="56"/>
  <c r="EW149" i="56"/>
  <c r="EV149" i="56"/>
  <c r="EU149" i="56"/>
  <c r="ET149" i="56"/>
  <c r="ES149" i="56"/>
  <c r="ER149" i="56"/>
  <c r="EQ149" i="56"/>
  <c r="EP149" i="56"/>
  <c r="EO149" i="56"/>
  <c r="EN149" i="56"/>
  <c r="EM149" i="56"/>
  <c r="EL149" i="56"/>
  <c r="EK149" i="56"/>
  <c r="EJ149" i="56"/>
  <c r="EI149" i="56"/>
  <c r="EH149" i="56"/>
  <c r="EG149" i="56"/>
  <c r="EF149" i="56"/>
  <c r="EE149" i="56"/>
  <c r="ED149" i="56"/>
  <c r="EC149" i="56"/>
  <c r="EB149" i="56"/>
  <c r="EA149" i="56"/>
  <c r="DZ149" i="56"/>
  <c r="DY149" i="56"/>
  <c r="DX149" i="56"/>
  <c r="DW149" i="56"/>
  <c r="DV149" i="56"/>
  <c r="DU149" i="56"/>
  <c r="DT149" i="56"/>
  <c r="DS149" i="56"/>
  <c r="DR149" i="56"/>
  <c r="DQ149" i="56"/>
  <c r="DP149" i="56"/>
  <c r="DO149" i="56"/>
  <c r="DN149" i="56"/>
  <c r="DM149" i="56"/>
  <c r="DL149" i="56"/>
  <c r="DK149" i="56"/>
  <c r="DJ149" i="56"/>
  <c r="DI149" i="56"/>
  <c r="DH149" i="56"/>
  <c r="DG149" i="56"/>
  <c r="DF149" i="56"/>
  <c r="DE149" i="56"/>
  <c r="DD149" i="56"/>
  <c r="DC149" i="56"/>
  <c r="DB149" i="56"/>
  <c r="DA149" i="56"/>
  <c r="CZ149" i="56"/>
  <c r="CY149" i="56"/>
  <c r="CX149" i="56"/>
  <c r="CW149" i="56"/>
  <c r="CV149" i="56"/>
  <c r="CU149" i="56"/>
  <c r="CT149" i="56"/>
  <c r="CS149" i="56"/>
  <c r="CR149" i="56"/>
  <c r="CQ149" i="56"/>
  <c r="CP149" i="56"/>
  <c r="CO149" i="56"/>
  <c r="CN149" i="56"/>
  <c r="CM149" i="56"/>
  <c r="CL149" i="56"/>
  <c r="CK149" i="56"/>
  <c r="CJ149" i="56"/>
  <c r="CI149" i="56"/>
  <c r="CH149" i="56"/>
  <c r="CG149" i="56"/>
  <c r="CF149" i="56"/>
  <c r="CE149" i="56"/>
  <c r="CD149" i="56"/>
  <c r="CC149" i="56"/>
  <c r="CB149" i="56"/>
  <c r="CA149" i="56"/>
  <c r="BZ149" i="56"/>
  <c r="BY149" i="56"/>
  <c r="BX149" i="56"/>
  <c r="BW149" i="56"/>
  <c r="BV149" i="56"/>
  <c r="BU149" i="56"/>
  <c r="BT149" i="56"/>
  <c r="BS149" i="56"/>
  <c r="BR149" i="56"/>
  <c r="BQ149" i="56"/>
  <c r="BP149" i="56"/>
  <c r="BO149" i="56"/>
  <c r="BN149" i="56"/>
  <c r="BM149" i="56"/>
  <c r="BL149" i="56"/>
  <c r="BK149" i="56"/>
  <c r="BJ149" i="56"/>
  <c r="BI149" i="56"/>
  <c r="BH149" i="56"/>
  <c r="BG149" i="56"/>
  <c r="BF149" i="56"/>
  <c r="BE149" i="56"/>
  <c r="BD149" i="56"/>
  <c r="BC149" i="56"/>
  <c r="BB149" i="56"/>
  <c r="BA149" i="56"/>
  <c r="AZ149" i="56"/>
  <c r="AY149" i="56"/>
  <c r="AX149" i="56"/>
  <c r="AW149" i="56"/>
  <c r="AV149" i="56"/>
  <c r="AU149" i="56"/>
  <c r="AT149" i="56"/>
  <c r="AS149" i="56"/>
  <c r="AR149" i="56"/>
  <c r="AQ149" i="56"/>
  <c r="AP149" i="56"/>
  <c r="AO149" i="56"/>
  <c r="AN149" i="56"/>
  <c r="AM149" i="56"/>
  <c r="AL149" i="56"/>
  <c r="AK149" i="56"/>
  <c r="AJ149" i="56"/>
  <c r="AI149" i="56"/>
  <c r="AH149" i="56"/>
  <c r="AG149" i="56"/>
  <c r="AF149" i="56"/>
  <c r="AE149" i="56"/>
  <c r="AD149" i="56"/>
  <c r="AC149" i="56"/>
  <c r="AB149" i="56"/>
  <c r="AA149" i="56"/>
  <c r="Z149" i="56"/>
  <c r="Y149" i="56"/>
  <c r="X149" i="56"/>
  <c r="W149" i="56"/>
  <c r="V149" i="56"/>
  <c r="U149" i="56"/>
  <c r="T149" i="56"/>
  <c r="S149" i="56"/>
  <c r="R149" i="56"/>
  <c r="Q149" i="56"/>
  <c r="P149" i="56"/>
  <c r="O149" i="56"/>
  <c r="N149" i="56"/>
  <c r="M149" i="56"/>
  <c r="L149" i="56"/>
  <c r="K149" i="56"/>
  <c r="J149" i="56"/>
  <c r="I149" i="56"/>
  <c r="H149" i="56"/>
  <c r="G149" i="56"/>
  <c r="F149" i="56"/>
  <c r="E149" i="56"/>
  <c r="D149" i="56"/>
  <c r="C149" i="56"/>
  <c r="B149" i="56"/>
  <c r="BS80" i="56"/>
  <c r="BR80" i="56"/>
  <c r="BQ80" i="56"/>
  <c r="BP80" i="56"/>
  <c r="BO80" i="56"/>
  <c r="BN80" i="56"/>
  <c r="BM80" i="56"/>
  <c r="BL80" i="56"/>
  <c r="BK80" i="56"/>
  <c r="BJ80" i="56"/>
  <c r="BI80" i="56"/>
  <c r="BH80" i="56"/>
  <c r="BG80" i="56"/>
  <c r="BF80" i="56"/>
  <c r="BE80" i="56"/>
  <c r="BD80" i="56"/>
  <c r="BC80" i="56"/>
  <c r="BB80" i="56"/>
  <c r="BA80" i="56"/>
  <c r="AZ80" i="56"/>
  <c r="AY80" i="56"/>
  <c r="AX80" i="56"/>
  <c r="AW80" i="56"/>
  <c r="AV80" i="56"/>
  <c r="AU80" i="56"/>
  <c r="AT80" i="56"/>
  <c r="AS80" i="56"/>
  <c r="AR80" i="56"/>
  <c r="AQ80" i="56"/>
  <c r="AP80" i="56"/>
  <c r="AO80" i="56"/>
  <c r="AN80" i="56"/>
  <c r="AM80" i="56"/>
  <c r="AL80" i="56"/>
  <c r="AK80" i="56"/>
  <c r="AJ80" i="56"/>
  <c r="AI80" i="56"/>
  <c r="AH80" i="56"/>
  <c r="AG80" i="56"/>
  <c r="AF80" i="56"/>
  <c r="AE80" i="56"/>
  <c r="AD80" i="56"/>
  <c r="AC80" i="56"/>
  <c r="AB80" i="56"/>
  <c r="AA80" i="56"/>
  <c r="Z80" i="56"/>
  <c r="Y80" i="56"/>
  <c r="X80" i="56"/>
  <c r="W80" i="56"/>
  <c r="V80" i="56"/>
  <c r="U80" i="56"/>
  <c r="T80" i="56"/>
  <c r="S80" i="56"/>
  <c r="R80" i="56"/>
  <c r="Q80" i="56"/>
  <c r="P80" i="56"/>
  <c r="O80" i="56"/>
  <c r="N80" i="56"/>
  <c r="M80" i="56"/>
  <c r="L80" i="56"/>
  <c r="K80" i="56"/>
  <c r="J80" i="56"/>
  <c r="I80" i="56"/>
  <c r="H80" i="56"/>
  <c r="G80" i="56"/>
  <c r="F80" i="56"/>
  <c r="E80" i="56"/>
  <c r="D80" i="56"/>
  <c r="C80" i="56"/>
  <c r="B80" i="56"/>
  <c r="XX63" i="56"/>
  <c r="XW63" i="56"/>
  <c r="XV63" i="56"/>
  <c r="XU63" i="56"/>
  <c r="XT63" i="56"/>
  <c r="XS63" i="56"/>
  <c r="XR63" i="56"/>
  <c r="XQ63" i="56"/>
  <c r="XP63" i="56"/>
  <c r="XO63" i="56"/>
  <c r="XN63" i="56"/>
  <c r="XM63" i="56"/>
  <c r="XL63" i="56"/>
  <c r="XK63" i="56"/>
  <c r="XJ63" i="56"/>
  <c r="XI63" i="56"/>
  <c r="XH63" i="56"/>
  <c r="XG63" i="56"/>
  <c r="XF63" i="56"/>
  <c r="XE63" i="56"/>
  <c r="XD63" i="56"/>
  <c r="XC63" i="56"/>
  <c r="XB63" i="56"/>
  <c r="XA63" i="56"/>
  <c r="WZ63" i="56"/>
  <c r="WY63" i="56"/>
  <c r="WX63" i="56"/>
  <c r="WW63" i="56"/>
  <c r="WV63" i="56"/>
  <c r="WU63" i="56"/>
  <c r="WT63" i="56"/>
  <c r="WS63" i="56"/>
  <c r="WR63" i="56"/>
  <c r="WQ63" i="56"/>
  <c r="WP63" i="56"/>
  <c r="WO63" i="56"/>
  <c r="WN63" i="56"/>
  <c r="WM63" i="56"/>
  <c r="WL63" i="56"/>
  <c r="WK63" i="56"/>
  <c r="WJ63" i="56"/>
  <c r="WI63" i="56"/>
  <c r="WH63" i="56"/>
  <c r="WG63" i="56"/>
  <c r="WF63" i="56"/>
  <c r="WE63" i="56"/>
  <c r="WD63" i="56"/>
  <c r="WC63" i="56"/>
  <c r="WB63" i="56"/>
  <c r="WA63" i="56"/>
  <c r="VZ63" i="56"/>
  <c r="VY63" i="56"/>
  <c r="VX63" i="56"/>
  <c r="VW63" i="56"/>
  <c r="VV63" i="56"/>
  <c r="VU63" i="56"/>
  <c r="VT63" i="56"/>
  <c r="VS63" i="56"/>
  <c r="VR63" i="56"/>
  <c r="VQ63" i="56"/>
  <c r="VP63" i="56"/>
  <c r="VO63" i="56"/>
  <c r="VN63" i="56"/>
  <c r="VM63" i="56"/>
  <c r="VL63" i="56"/>
  <c r="VK63" i="56"/>
  <c r="VJ63" i="56"/>
  <c r="VI63" i="56"/>
  <c r="VH63" i="56"/>
  <c r="VG63" i="56"/>
  <c r="VF63" i="56"/>
  <c r="VE63" i="56"/>
  <c r="VD63" i="56"/>
  <c r="VC63" i="56"/>
  <c r="VB63" i="56"/>
  <c r="VA63" i="56"/>
  <c r="UZ63" i="56"/>
  <c r="UY63" i="56"/>
  <c r="UX63" i="56"/>
  <c r="UW63" i="56"/>
  <c r="UV63" i="56"/>
  <c r="UU63" i="56"/>
  <c r="UT63" i="56"/>
  <c r="US63" i="56"/>
  <c r="UR63" i="56"/>
  <c r="UQ63" i="56"/>
  <c r="UP63" i="56"/>
  <c r="UO63" i="56"/>
  <c r="UN63" i="56"/>
  <c r="UM63" i="56"/>
  <c r="UL63" i="56"/>
  <c r="UK63" i="56"/>
  <c r="UJ63" i="56"/>
  <c r="UI63" i="56"/>
  <c r="UH63" i="56"/>
  <c r="UG63" i="56"/>
  <c r="UF63" i="56"/>
  <c r="UE63" i="56"/>
  <c r="UD63" i="56"/>
  <c r="UC63" i="56"/>
  <c r="UB63" i="56"/>
  <c r="UA63" i="56"/>
  <c r="TZ63" i="56"/>
  <c r="TY63" i="56"/>
  <c r="TX63" i="56"/>
  <c r="TW63" i="56"/>
  <c r="TV63" i="56"/>
  <c r="TU63" i="56"/>
  <c r="TT63" i="56"/>
  <c r="TS63" i="56"/>
  <c r="TR63" i="56"/>
  <c r="TQ63" i="56"/>
  <c r="TP63" i="56"/>
  <c r="TO63" i="56"/>
  <c r="TN63" i="56"/>
  <c r="TM63" i="56"/>
  <c r="TL63" i="56"/>
  <c r="TK63" i="56"/>
  <c r="TJ63" i="56"/>
  <c r="TI63" i="56"/>
  <c r="TH63" i="56"/>
  <c r="TG63" i="56"/>
  <c r="TF63" i="56"/>
  <c r="TE63" i="56"/>
  <c r="TD63" i="56"/>
  <c r="TC63" i="56"/>
  <c r="TB63" i="56"/>
  <c r="TA63" i="56"/>
  <c r="SZ63" i="56"/>
  <c r="SY63" i="56"/>
  <c r="SX63" i="56"/>
  <c r="SW63" i="56"/>
  <c r="SV63" i="56"/>
  <c r="SU63" i="56"/>
  <c r="ST63" i="56"/>
  <c r="SS63" i="56"/>
  <c r="SR63" i="56"/>
  <c r="SQ63" i="56"/>
  <c r="SP63" i="56"/>
  <c r="SO63" i="56"/>
  <c r="SN63" i="56"/>
  <c r="SM63" i="56"/>
  <c r="SL63" i="56"/>
  <c r="SK63" i="56"/>
  <c r="SJ63" i="56"/>
  <c r="SI63" i="56"/>
  <c r="SH63" i="56"/>
  <c r="SG63" i="56"/>
  <c r="SF63" i="56"/>
  <c r="SE63" i="56"/>
  <c r="SD63" i="56"/>
  <c r="SC63" i="56"/>
  <c r="SB63" i="56"/>
  <c r="SA63" i="56"/>
  <c r="RZ63" i="56"/>
  <c r="RY63" i="56"/>
  <c r="RX63" i="56"/>
  <c r="RW63" i="56"/>
  <c r="RV63" i="56"/>
  <c r="RU63" i="56"/>
  <c r="RT63" i="56"/>
  <c r="RS63" i="56"/>
  <c r="RR63" i="56"/>
  <c r="RQ63" i="56"/>
  <c r="RP63" i="56"/>
  <c r="RO63" i="56"/>
  <c r="RN63" i="56"/>
  <c r="RM63" i="56"/>
  <c r="RL63" i="56"/>
  <c r="RK63" i="56"/>
  <c r="RJ63" i="56"/>
  <c r="RI63" i="56"/>
  <c r="RH63" i="56"/>
  <c r="RG63" i="56"/>
  <c r="RF63" i="56"/>
  <c r="RE63" i="56"/>
  <c r="RD63" i="56"/>
  <c r="RC63" i="56"/>
  <c r="RB63" i="56"/>
  <c r="RA63" i="56"/>
  <c r="QZ63" i="56"/>
  <c r="QY63" i="56"/>
  <c r="QX63" i="56"/>
  <c r="QW63" i="56"/>
  <c r="QV63" i="56"/>
  <c r="QU63" i="56"/>
  <c r="QT63" i="56"/>
  <c r="QS63" i="56"/>
  <c r="QR63" i="56"/>
  <c r="QQ63" i="56"/>
  <c r="QP63" i="56"/>
  <c r="QO63" i="56"/>
  <c r="QN63" i="56"/>
  <c r="QM63" i="56"/>
  <c r="QL63" i="56"/>
  <c r="QK63" i="56"/>
  <c r="QJ63" i="56"/>
  <c r="QI63" i="56"/>
  <c r="QH63" i="56"/>
  <c r="QG63" i="56"/>
  <c r="QF63" i="56"/>
  <c r="QE63" i="56"/>
  <c r="QD63" i="56"/>
  <c r="QC63" i="56"/>
  <c r="QB63" i="56"/>
  <c r="QA63" i="56"/>
  <c r="PZ63" i="56"/>
  <c r="PY63" i="56"/>
  <c r="PX63" i="56"/>
  <c r="PW63" i="56"/>
  <c r="PV63" i="56"/>
  <c r="PU63" i="56"/>
  <c r="PT63" i="56"/>
  <c r="PS63" i="56"/>
  <c r="PR63" i="56"/>
  <c r="PQ63" i="56"/>
  <c r="PP63" i="56"/>
  <c r="PO63" i="56"/>
  <c r="PN63" i="56"/>
  <c r="PM63" i="56"/>
  <c r="PL63" i="56"/>
  <c r="PK63" i="56"/>
  <c r="PJ63" i="56"/>
  <c r="PI63" i="56"/>
  <c r="PH63" i="56"/>
  <c r="PG63" i="56"/>
  <c r="PF63" i="56"/>
  <c r="PE63" i="56"/>
  <c r="PD63" i="56"/>
  <c r="PC63" i="56"/>
  <c r="PB63" i="56"/>
  <c r="PA63" i="56"/>
  <c r="OZ63" i="56"/>
  <c r="OY63" i="56"/>
  <c r="OX63" i="56"/>
  <c r="OW63" i="56"/>
  <c r="OV63" i="56"/>
  <c r="OU63" i="56"/>
  <c r="OT63" i="56"/>
  <c r="OS63" i="56"/>
  <c r="OR63" i="56"/>
  <c r="OQ63" i="56"/>
  <c r="OP63" i="56"/>
  <c r="OO63" i="56"/>
  <c r="ON63" i="56"/>
  <c r="OM63" i="56"/>
  <c r="OL63" i="56"/>
  <c r="OK63" i="56"/>
  <c r="OJ63" i="56"/>
  <c r="OI63" i="56"/>
  <c r="OH63" i="56"/>
  <c r="OG63" i="56"/>
  <c r="OF63" i="56"/>
  <c r="OE63" i="56"/>
  <c r="OD63" i="56"/>
  <c r="OC63" i="56"/>
  <c r="OB63" i="56"/>
  <c r="OA63" i="56"/>
  <c r="NZ63" i="56"/>
  <c r="NY63" i="56"/>
  <c r="NX63" i="56"/>
  <c r="NW63" i="56"/>
  <c r="NV63" i="56"/>
  <c r="NU63" i="56"/>
  <c r="NT63" i="56"/>
  <c r="NS63" i="56"/>
  <c r="NR63" i="56"/>
  <c r="NQ63" i="56"/>
  <c r="NP63" i="56"/>
  <c r="NO63" i="56"/>
  <c r="NN63" i="56"/>
  <c r="NM63" i="56"/>
  <c r="NL63" i="56"/>
  <c r="NK63" i="56"/>
  <c r="NJ63" i="56"/>
  <c r="NI63" i="56"/>
  <c r="NH63" i="56"/>
  <c r="NG63" i="56"/>
  <c r="NF63" i="56"/>
  <c r="NE63" i="56"/>
  <c r="ND63" i="56"/>
  <c r="NC63" i="56"/>
  <c r="NB63" i="56"/>
  <c r="NA63" i="56"/>
  <c r="MZ63" i="56"/>
  <c r="MY63" i="56"/>
  <c r="MX63" i="56"/>
  <c r="MW63" i="56"/>
  <c r="MV63" i="56"/>
  <c r="MU63" i="56"/>
  <c r="MT63" i="56"/>
  <c r="MS63" i="56"/>
  <c r="MR63" i="56"/>
  <c r="MQ63" i="56"/>
  <c r="MP63" i="56"/>
  <c r="MO63" i="56"/>
  <c r="MN63" i="56"/>
  <c r="MM63" i="56"/>
  <c r="ML63" i="56"/>
  <c r="MK63" i="56"/>
  <c r="MJ63" i="56"/>
  <c r="MI63" i="56"/>
  <c r="MH63" i="56"/>
  <c r="MG63" i="56"/>
  <c r="MF63" i="56"/>
  <c r="ME63" i="56"/>
  <c r="MD63" i="56"/>
  <c r="MC63" i="56"/>
  <c r="MB63" i="56"/>
  <c r="MA63" i="56"/>
  <c r="LZ63" i="56"/>
  <c r="LY63" i="56"/>
  <c r="LX63" i="56"/>
  <c r="LW63" i="56"/>
  <c r="LV63" i="56"/>
  <c r="LU63" i="56"/>
  <c r="LT63" i="56"/>
  <c r="LS63" i="56"/>
  <c r="LR63" i="56"/>
  <c r="LQ63" i="56"/>
  <c r="LP63" i="56"/>
  <c r="LO63" i="56"/>
  <c r="LN63" i="56"/>
  <c r="LM63" i="56"/>
  <c r="LL63" i="56"/>
  <c r="LK63" i="56"/>
  <c r="LJ63" i="56"/>
  <c r="LI63" i="56"/>
  <c r="LH63" i="56"/>
  <c r="LG63" i="56"/>
  <c r="LF63" i="56"/>
  <c r="LE63" i="56"/>
  <c r="LD63" i="56"/>
  <c r="LC63" i="56"/>
  <c r="LB63" i="56"/>
  <c r="LA63" i="56"/>
  <c r="KZ63" i="56"/>
  <c r="KY63" i="56"/>
  <c r="KX63" i="56"/>
  <c r="KW63" i="56"/>
  <c r="KV63" i="56"/>
  <c r="KU63" i="56"/>
  <c r="KT63" i="56"/>
  <c r="KS63" i="56"/>
  <c r="KR63" i="56"/>
  <c r="KQ63" i="56"/>
  <c r="KP63" i="56"/>
  <c r="KO63" i="56"/>
  <c r="KN63" i="56"/>
  <c r="KM63" i="56"/>
  <c r="KL63" i="56"/>
  <c r="KK63" i="56"/>
  <c r="KJ63" i="56"/>
  <c r="KI63" i="56"/>
  <c r="KH63" i="56"/>
  <c r="KG63" i="56"/>
  <c r="KF63" i="56"/>
  <c r="KE63" i="56"/>
  <c r="KD63" i="56"/>
  <c r="KC63" i="56"/>
  <c r="KB63" i="56"/>
  <c r="KA63" i="56"/>
  <c r="JZ63" i="56"/>
  <c r="JY63" i="56"/>
  <c r="JX63" i="56"/>
  <c r="JW63" i="56"/>
  <c r="JV63" i="56"/>
  <c r="JU63" i="56"/>
  <c r="JT63" i="56"/>
  <c r="JS63" i="56"/>
  <c r="JR63" i="56"/>
  <c r="JQ63" i="56"/>
  <c r="JP63" i="56"/>
  <c r="JO63" i="56"/>
  <c r="JN63" i="56"/>
  <c r="JM63" i="56"/>
  <c r="JL63" i="56"/>
  <c r="JK63" i="56"/>
  <c r="JJ63" i="56"/>
  <c r="JI63" i="56"/>
  <c r="JH63" i="56"/>
  <c r="JG63" i="56"/>
  <c r="JF63" i="56"/>
  <c r="JE63" i="56"/>
  <c r="JD63" i="56"/>
  <c r="JC63" i="56"/>
  <c r="JB63" i="56"/>
  <c r="JA63" i="56"/>
  <c r="IZ63" i="56"/>
  <c r="IY63" i="56"/>
  <c r="IX63" i="56"/>
  <c r="IW63" i="56"/>
  <c r="IV63" i="56"/>
  <c r="IU63" i="56"/>
  <c r="IT63" i="56"/>
  <c r="IS63" i="56"/>
  <c r="IR63" i="56"/>
  <c r="IQ63" i="56"/>
  <c r="IP63" i="56"/>
  <c r="IO63" i="56"/>
  <c r="IN63" i="56"/>
  <c r="IM63" i="56"/>
  <c r="IL63" i="56"/>
  <c r="IK63" i="56"/>
  <c r="IJ63" i="56"/>
  <c r="II63" i="56"/>
  <c r="IH63" i="56"/>
  <c r="IG63" i="56"/>
  <c r="IF63" i="56"/>
  <c r="IE63" i="56"/>
  <c r="ID63" i="56"/>
  <c r="IC63" i="56"/>
  <c r="IB63" i="56"/>
  <c r="IA63" i="56"/>
  <c r="HZ63" i="56"/>
  <c r="HY63" i="56"/>
  <c r="HX63" i="56"/>
  <c r="HW63" i="56"/>
  <c r="HV63" i="56"/>
  <c r="HU63" i="56"/>
  <c r="HT63" i="56"/>
  <c r="HS63" i="56"/>
  <c r="HR63" i="56"/>
  <c r="HQ63" i="56"/>
  <c r="HP63" i="56"/>
  <c r="HO63" i="56"/>
  <c r="HN63" i="56"/>
  <c r="HM63" i="56"/>
  <c r="HL63" i="56"/>
  <c r="HK63" i="56"/>
  <c r="HJ63" i="56"/>
  <c r="HI63" i="56"/>
  <c r="HH63" i="56"/>
  <c r="HG63" i="56"/>
  <c r="HF63" i="56"/>
  <c r="HE63" i="56"/>
  <c r="HD63" i="56"/>
  <c r="HC63" i="56"/>
  <c r="HB63" i="56"/>
  <c r="HA63" i="56"/>
  <c r="GZ63" i="56"/>
  <c r="GY63" i="56"/>
  <c r="GX63" i="56"/>
  <c r="GW63" i="56"/>
  <c r="GV63" i="56"/>
  <c r="GU63" i="56"/>
  <c r="GT63" i="56"/>
  <c r="GS63" i="56"/>
  <c r="GR63" i="56"/>
  <c r="GQ63" i="56"/>
  <c r="GP63" i="56"/>
  <c r="GO63" i="56"/>
  <c r="GN63" i="56"/>
  <c r="GM63" i="56"/>
  <c r="GL63" i="56"/>
  <c r="GK63" i="56"/>
  <c r="GJ63" i="56"/>
  <c r="BF167" i="56" s="1"/>
  <c r="GI63" i="56"/>
  <c r="GH63" i="56"/>
  <c r="GG63" i="56"/>
  <c r="GF63" i="56"/>
  <c r="GE63" i="56"/>
  <c r="GD63" i="56"/>
  <c r="GC63" i="56"/>
  <c r="GB63" i="56"/>
  <c r="GA63" i="56"/>
  <c r="FZ63" i="56"/>
  <c r="FY63" i="56"/>
  <c r="FX63" i="56"/>
  <c r="FW63" i="56"/>
  <c r="FV63" i="56"/>
  <c r="FU63" i="56"/>
  <c r="FT63" i="56"/>
  <c r="FS63" i="56"/>
  <c r="FR63" i="56"/>
  <c r="FQ63" i="56"/>
  <c r="FP63" i="56"/>
  <c r="FO63" i="56"/>
  <c r="FN63" i="56"/>
  <c r="FM63" i="56"/>
  <c r="FL63" i="56"/>
  <c r="FK63" i="56"/>
  <c r="FJ63" i="56"/>
  <c r="FI63" i="56"/>
  <c r="FH63" i="56"/>
  <c r="FG63" i="56"/>
  <c r="FF63" i="56"/>
  <c r="FE63" i="56"/>
  <c r="FD63" i="56"/>
  <c r="FC63" i="56"/>
  <c r="FB63" i="56"/>
  <c r="FA63" i="56"/>
  <c r="EZ63" i="56"/>
  <c r="EY63" i="56"/>
  <c r="EX63" i="56"/>
  <c r="EW63" i="56"/>
  <c r="EV63" i="56"/>
  <c r="EU63" i="56"/>
  <c r="ET63" i="56"/>
  <c r="ES63" i="56"/>
  <c r="ER63" i="56"/>
  <c r="EQ63" i="56"/>
  <c r="EP63" i="56"/>
  <c r="EO63" i="56"/>
  <c r="EN63" i="56"/>
  <c r="EM63" i="56"/>
  <c r="EL63" i="56"/>
  <c r="EK63" i="56"/>
  <c r="EJ63" i="56"/>
  <c r="EI63" i="56"/>
  <c r="EH63" i="56"/>
  <c r="EG63" i="56"/>
  <c r="EF63" i="56"/>
  <c r="EE63" i="56"/>
  <c r="ED63" i="56"/>
  <c r="EC63" i="56"/>
  <c r="EB63" i="56"/>
  <c r="EA63" i="56"/>
  <c r="DZ63" i="56"/>
  <c r="DY63" i="56"/>
  <c r="DX63" i="56"/>
  <c r="DW63" i="56"/>
  <c r="DV63" i="56"/>
  <c r="DU63" i="56"/>
  <c r="DT63" i="56"/>
  <c r="DS63" i="56"/>
  <c r="DR63" i="56"/>
  <c r="DQ63" i="56"/>
  <c r="DP63" i="56"/>
  <c r="DO63" i="56"/>
  <c r="DN63" i="56"/>
  <c r="DM63" i="56"/>
  <c r="DL63" i="56"/>
  <c r="DK63" i="56"/>
  <c r="DJ63" i="56"/>
  <c r="DI63" i="56"/>
  <c r="DH63" i="56"/>
  <c r="DG63" i="56"/>
  <c r="DF63" i="56"/>
  <c r="DE63" i="56"/>
  <c r="DD63" i="56"/>
  <c r="DC63" i="56"/>
  <c r="DB63" i="56"/>
  <c r="DA63" i="56"/>
  <c r="CZ63" i="56"/>
  <c r="CY63" i="56"/>
  <c r="CX63" i="56"/>
  <c r="CW63" i="56"/>
  <c r="CV63" i="56"/>
  <c r="CU63" i="56"/>
  <c r="CT63" i="56"/>
  <c r="CS63" i="56"/>
  <c r="CR63" i="56"/>
  <c r="CQ63" i="56"/>
  <c r="CP63" i="56"/>
  <c r="CO63" i="56"/>
  <c r="CN63" i="56"/>
  <c r="CM63" i="56"/>
  <c r="CL63" i="56"/>
  <c r="CK63" i="56"/>
  <c r="CJ63" i="56"/>
  <c r="CI63" i="56"/>
  <c r="CH63" i="56"/>
  <c r="CG63" i="56"/>
  <c r="CF63" i="56"/>
  <c r="CE63" i="56"/>
  <c r="CD63" i="56"/>
  <c r="CC63" i="56"/>
  <c r="CB63" i="56"/>
  <c r="CA63" i="56"/>
  <c r="BZ63" i="56"/>
  <c r="BY63" i="56"/>
  <c r="BX63" i="56"/>
  <c r="BW63" i="56"/>
  <c r="BV63" i="56"/>
  <c r="BU63" i="56"/>
  <c r="BT63" i="56"/>
  <c r="BS63" i="56"/>
  <c r="BR63" i="56"/>
  <c r="BQ63" i="56"/>
  <c r="BP63" i="56"/>
  <c r="BO63" i="56"/>
  <c r="BN63" i="56"/>
  <c r="BM63" i="56"/>
  <c r="BL63" i="56"/>
  <c r="BK63" i="56"/>
  <c r="BJ63" i="56"/>
  <c r="BI63" i="56"/>
  <c r="BH63" i="56"/>
  <c r="BG63" i="56"/>
  <c r="BF63" i="56"/>
  <c r="BE63" i="56"/>
  <c r="BD63" i="56"/>
  <c r="BC63" i="56"/>
  <c r="BB63" i="56"/>
  <c r="BA63" i="56"/>
  <c r="AZ63" i="56"/>
  <c r="AY63" i="56"/>
  <c r="AX63" i="56"/>
  <c r="AW63" i="56"/>
  <c r="AV63" i="56"/>
  <c r="AU63" i="56"/>
  <c r="AT63" i="56"/>
  <c r="AS63" i="56"/>
  <c r="AR63" i="56"/>
  <c r="AQ63" i="56"/>
  <c r="AP63" i="56"/>
  <c r="AO63" i="56"/>
  <c r="AN63" i="56"/>
  <c r="AM63" i="56"/>
  <c r="AL63" i="56"/>
  <c r="AK63" i="56"/>
  <c r="AJ63" i="56"/>
  <c r="AI63" i="56"/>
  <c r="AH63" i="56"/>
  <c r="AG63" i="56"/>
  <c r="AF63" i="56"/>
  <c r="AE63" i="56"/>
  <c r="AD63" i="56"/>
  <c r="AC63" i="56"/>
  <c r="AB63" i="56"/>
  <c r="AA63" i="56"/>
  <c r="Z63" i="56"/>
  <c r="Y63" i="56"/>
  <c r="X63" i="56"/>
  <c r="W63" i="56"/>
  <c r="V63" i="56"/>
  <c r="U63" i="56"/>
  <c r="T63" i="56"/>
  <c r="S63" i="56"/>
  <c r="R63" i="56"/>
  <c r="Q63" i="56"/>
  <c r="P63" i="56"/>
  <c r="O63" i="56"/>
  <c r="N63" i="56"/>
  <c r="M63" i="56"/>
  <c r="L63" i="56"/>
  <c r="K63" i="56"/>
  <c r="J63" i="56"/>
  <c r="I63" i="56"/>
  <c r="H63" i="56"/>
  <c r="G63" i="56"/>
  <c r="F63" i="56"/>
  <c r="E63" i="56"/>
  <c r="D63" i="56"/>
  <c r="C63" i="56"/>
  <c r="B63" i="56"/>
  <c r="XX62" i="56"/>
  <c r="XW62" i="56"/>
  <c r="XV62" i="56"/>
  <c r="XU62" i="56"/>
  <c r="XT62" i="56"/>
  <c r="XS62" i="56"/>
  <c r="XR62" i="56"/>
  <c r="XQ62" i="56"/>
  <c r="XP62" i="56"/>
  <c r="XO62" i="56"/>
  <c r="XN62" i="56"/>
  <c r="XM62" i="56"/>
  <c r="XL62" i="56"/>
  <c r="XK62" i="56"/>
  <c r="XJ62" i="56"/>
  <c r="XI62" i="56"/>
  <c r="XH62" i="56"/>
  <c r="XG62" i="56"/>
  <c r="XF62" i="56"/>
  <c r="XE62" i="56"/>
  <c r="XD62" i="56"/>
  <c r="XC62" i="56"/>
  <c r="XB62" i="56"/>
  <c r="XA62" i="56"/>
  <c r="WZ62" i="56"/>
  <c r="WY62" i="56"/>
  <c r="WX62" i="56"/>
  <c r="WW62" i="56"/>
  <c r="WV62" i="56"/>
  <c r="WU62" i="56"/>
  <c r="WT62" i="56"/>
  <c r="WS62" i="56"/>
  <c r="WR62" i="56"/>
  <c r="WQ62" i="56"/>
  <c r="WP62" i="56"/>
  <c r="WO62" i="56"/>
  <c r="WN62" i="56"/>
  <c r="WM62" i="56"/>
  <c r="WL62" i="56"/>
  <c r="WK62" i="56"/>
  <c r="WJ62" i="56"/>
  <c r="WI62" i="56"/>
  <c r="WH62" i="56"/>
  <c r="WG62" i="56"/>
  <c r="WF62" i="56"/>
  <c r="WE62" i="56"/>
  <c r="WD62" i="56"/>
  <c r="WC62" i="56"/>
  <c r="WB62" i="56"/>
  <c r="WA62" i="56"/>
  <c r="VZ62" i="56"/>
  <c r="VY62" i="56"/>
  <c r="VX62" i="56"/>
  <c r="VW62" i="56"/>
  <c r="VV62" i="56"/>
  <c r="VU62" i="56"/>
  <c r="VT62" i="56"/>
  <c r="VS62" i="56"/>
  <c r="VR62" i="56"/>
  <c r="VQ62" i="56"/>
  <c r="VP62" i="56"/>
  <c r="VO62" i="56"/>
  <c r="VN62" i="56"/>
  <c r="VM62" i="56"/>
  <c r="VL62" i="56"/>
  <c r="VK62" i="56"/>
  <c r="VJ62" i="56"/>
  <c r="VI62" i="56"/>
  <c r="VH62" i="56"/>
  <c r="VG62" i="56"/>
  <c r="VF62" i="56"/>
  <c r="VE62" i="56"/>
  <c r="VD62" i="56"/>
  <c r="VC62" i="56"/>
  <c r="VB62" i="56"/>
  <c r="VA62" i="56"/>
  <c r="UZ62" i="56"/>
  <c r="UY62" i="56"/>
  <c r="UX62" i="56"/>
  <c r="UW62" i="56"/>
  <c r="UV62" i="56"/>
  <c r="UU62" i="56"/>
  <c r="UT62" i="56"/>
  <c r="US62" i="56"/>
  <c r="UR62" i="56"/>
  <c r="UQ62" i="56"/>
  <c r="UP62" i="56"/>
  <c r="UO62" i="56"/>
  <c r="UN62" i="56"/>
  <c r="UM62" i="56"/>
  <c r="UL62" i="56"/>
  <c r="UK62" i="56"/>
  <c r="UJ62" i="56"/>
  <c r="UI62" i="56"/>
  <c r="UH62" i="56"/>
  <c r="UG62" i="56"/>
  <c r="UF62" i="56"/>
  <c r="UE62" i="56"/>
  <c r="UD62" i="56"/>
  <c r="UC62" i="56"/>
  <c r="UB62" i="56"/>
  <c r="UA62" i="56"/>
  <c r="TZ62" i="56"/>
  <c r="TY62" i="56"/>
  <c r="TX62" i="56"/>
  <c r="TW62" i="56"/>
  <c r="TV62" i="56"/>
  <c r="TU62" i="56"/>
  <c r="TT62" i="56"/>
  <c r="TS62" i="56"/>
  <c r="TR62" i="56"/>
  <c r="TQ62" i="56"/>
  <c r="TP62" i="56"/>
  <c r="TO62" i="56"/>
  <c r="TN62" i="56"/>
  <c r="TM62" i="56"/>
  <c r="TL62" i="56"/>
  <c r="TK62" i="56"/>
  <c r="TJ62" i="56"/>
  <c r="TI62" i="56"/>
  <c r="TH62" i="56"/>
  <c r="TG62" i="56"/>
  <c r="TF62" i="56"/>
  <c r="TE62" i="56"/>
  <c r="TD62" i="56"/>
  <c r="TC62" i="56"/>
  <c r="TB62" i="56"/>
  <c r="TA62" i="56"/>
  <c r="SZ62" i="56"/>
  <c r="SY62" i="56"/>
  <c r="SX62" i="56"/>
  <c r="SW62" i="56"/>
  <c r="SV62" i="56"/>
  <c r="SU62" i="56"/>
  <c r="ST62" i="56"/>
  <c r="SS62" i="56"/>
  <c r="SR62" i="56"/>
  <c r="SQ62" i="56"/>
  <c r="SP62" i="56"/>
  <c r="SO62" i="56"/>
  <c r="SN62" i="56"/>
  <c r="SM62" i="56"/>
  <c r="SL62" i="56"/>
  <c r="SK62" i="56"/>
  <c r="SJ62" i="56"/>
  <c r="SI62" i="56"/>
  <c r="SH62" i="56"/>
  <c r="SG62" i="56"/>
  <c r="SF62" i="56"/>
  <c r="SE62" i="56"/>
  <c r="SD62" i="56"/>
  <c r="SC62" i="56"/>
  <c r="SB62" i="56"/>
  <c r="SA62" i="56"/>
  <c r="RZ62" i="56"/>
  <c r="RY62" i="56"/>
  <c r="RX62" i="56"/>
  <c r="RW62" i="56"/>
  <c r="RV62" i="56"/>
  <c r="RU62" i="56"/>
  <c r="RT62" i="56"/>
  <c r="RS62" i="56"/>
  <c r="RR62" i="56"/>
  <c r="RQ62" i="56"/>
  <c r="RP62" i="56"/>
  <c r="RO62" i="56"/>
  <c r="RN62" i="56"/>
  <c r="RM62" i="56"/>
  <c r="RL62" i="56"/>
  <c r="RK62" i="56"/>
  <c r="RJ62" i="56"/>
  <c r="RI62" i="56"/>
  <c r="RH62" i="56"/>
  <c r="RG62" i="56"/>
  <c r="RF62" i="56"/>
  <c r="RE62" i="56"/>
  <c r="RD62" i="56"/>
  <c r="RC62" i="56"/>
  <c r="RB62" i="56"/>
  <c r="RA62" i="56"/>
  <c r="QZ62" i="56"/>
  <c r="QY62" i="56"/>
  <c r="QX62" i="56"/>
  <c r="QW62" i="56"/>
  <c r="QV62" i="56"/>
  <c r="QU62" i="56"/>
  <c r="QT62" i="56"/>
  <c r="QS62" i="56"/>
  <c r="QR62" i="56"/>
  <c r="QQ62" i="56"/>
  <c r="QP62" i="56"/>
  <c r="QO62" i="56"/>
  <c r="QN62" i="56"/>
  <c r="QM62" i="56"/>
  <c r="QL62" i="56"/>
  <c r="QK62" i="56"/>
  <c r="QJ62" i="56"/>
  <c r="QI62" i="56"/>
  <c r="QH62" i="56"/>
  <c r="QG62" i="56"/>
  <c r="QF62" i="56"/>
  <c r="QE62" i="56"/>
  <c r="QD62" i="56"/>
  <c r="QC62" i="56"/>
  <c r="QB62" i="56"/>
  <c r="QA62" i="56"/>
  <c r="PZ62" i="56"/>
  <c r="PY62" i="56"/>
  <c r="PX62" i="56"/>
  <c r="PW62" i="56"/>
  <c r="PV62" i="56"/>
  <c r="PU62" i="56"/>
  <c r="PT62" i="56"/>
  <c r="PS62" i="56"/>
  <c r="PR62" i="56"/>
  <c r="PQ62" i="56"/>
  <c r="PP62" i="56"/>
  <c r="PO62" i="56"/>
  <c r="PN62" i="56"/>
  <c r="PM62" i="56"/>
  <c r="PL62" i="56"/>
  <c r="PK62" i="56"/>
  <c r="PJ62" i="56"/>
  <c r="PI62" i="56"/>
  <c r="PH62" i="56"/>
  <c r="PG62" i="56"/>
  <c r="PF62" i="56"/>
  <c r="PE62" i="56"/>
  <c r="PD62" i="56"/>
  <c r="PC62" i="56"/>
  <c r="PB62" i="56"/>
  <c r="PA62" i="56"/>
  <c r="OZ62" i="56"/>
  <c r="OY62" i="56"/>
  <c r="OX62" i="56"/>
  <c r="OW62" i="56"/>
  <c r="OV62" i="56"/>
  <c r="OU62" i="56"/>
  <c r="OT62" i="56"/>
  <c r="OS62" i="56"/>
  <c r="OR62" i="56"/>
  <c r="OQ62" i="56"/>
  <c r="OP62" i="56"/>
  <c r="OO62" i="56"/>
  <c r="ON62" i="56"/>
  <c r="OM62" i="56"/>
  <c r="OL62" i="56"/>
  <c r="OK62" i="56"/>
  <c r="OJ62" i="56"/>
  <c r="OI62" i="56"/>
  <c r="OH62" i="56"/>
  <c r="OG62" i="56"/>
  <c r="OF62" i="56"/>
  <c r="OE62" i="56"/>
  <c r="OD62" i="56"/>
  <c r="OC62" i="56"/>
  <c r="OB62" i="56"/>
  <c r="OA62" i="56"/>
  <c r="NZ62" i="56"/>
  <c r="NY62" i="56"/>
  <c r="NX62" i="56"/>
  <c r="NW62" i="56"/>
  <c r="NV62" i="56"/>
  <c r="NU62" i="56"/>
  <c r="NT62" i="56"/>
  <c r="NS62" i="56"/>
  <c r="NR62" i="56"/>
  <c r="NQ62" i="56"/>
  <c r="NP62" i="56"/>
  <c r="NO62" i="56"/>
  <c r="NN62" i="56"/>
  <c r="NM62" i="56"/>
  <c r="NL62" i="56"/>
  <c r="NK62" i="56"/>
  <c r="NJ62" i="56"/>
  <c r="NI62" i="56"/>
  <c r="NH62" i="56"/>
  <c r="NG62" i="56"/>
  <c r="NF62" i="56"/>
  <c r="NE62" i="56"/>
  <c r="ND62" i="56"/>
  <c r="NC62" i="56"/>
  <c r="NB62" i="56"/>
  <c r="NA62" i="56"/>
  <c r="MZ62" i="56"/>
  <c r="MY62" i="56"/>
  <c r="MX62" i="56"/>
  <c r="MW62" i="56"/>
  <c r="MV62" i="56"/>
  <c r="MU62" i="56"/>
  <c r="MT62" i="56"/>
  <c r="MS62" i="56"/>
  <c r="MR62" i="56"/>
  <c r="MQ62" i="56"/>
  <c r="MP62" i="56"/>
  <c r="MO62" i="56"/>
  <c r="MN62" i="56"/>
  <c r="MM62" i="56"/>
  <c r="ML62" i="56"/>
  <c r="MK62" i="56"/>
  <c r="MJ62" i="56"/>
  <c r="MI62" i="56"/>
  <c r="MH62" i="56"/>
  <c r="MG62" i="56"/>
  <c r="MF62" i="56"/>
  <c r="ME62" i="56"/>
  <c r="MD62" i="56"/>
  <c r="MC62" i="56"/>
  <c r="MB62" i="56"/>
  <c r="MA62" i="56"/>
  <c r="LZ62" i="56"/>
  <c r="LY62" i="56"/>
  <c r="LX62" i="56"/>
  <c r="LW62" i="56"/>
  <c r="LV62" i="56"/>
  <c r="LU62" i="56"/>
  <c r="LT62" i="56"/>
  <c r="LS62" i="56"/>
  <c r="LR62" i="56"/>
  <c r="LQ62" i="56"/>
  <c r="LP62" i="56"/>
  <c r="LO62" i="56"/>
  <c r="LN62" i="56"/>
  <c r="LM62" i="56"/>
  <c r="LL62" i="56"/>
  <c r="LK62" i="56"/>
  <c r="LJ62" i="56"/>
  <c r="LI62" i="56"/>
  <c r="LH62" i="56"/>
  <c r="LG62" i="56"/>
  <c r="LF62" i="56"/>
  <c r="LE62" i="56"/>
  <c r="LD62" i="56"/>
  <c r="LC62" i="56"/>
  <c r="LB62" i="56"/>
  <c r="LA62" i="56"/>
  <c r="KZ62" i="56"/>
  <c r="KY62" i="56"/>
  <c r="KX62" i="56"/>
  <c r="KW62" i="56"/>
  <c r="KV62" i="56"/>
  <c r="KU62" i="56"/>
  <c r="KT62" i="56"/>
  <c r="KS62" i="56"/>
  <c r="KR62" i="56"/>
  <c r="KQ62" i="56"/>
  <c r="KP62" i="56"/>
  <c r="KO62" i="56"/>
  <c r="KN62" i="56"/>
  <c r="KM62" i="56"/>
  <c r="KL62" i="56"/>
  <c r="KK62" i="56"/>
  <c r="KJ62" i="56"/>
  <c r="KI62" i="56"/>
  <c r="KH62" i="56"/>
  <c r="KG62" i="56"/>
  <c r="KF62" i="56"/>
  <c r="KE62" i="56"/>
  <c r="KD62" i="56"/>
  <c r="KC62" i="56"/>
  <c r="KB62" i="56"/>
  <c r="KA62" i="56"/>
  <c r="JZ62" i="56"/>
  <c r="JY62" i="56"/>
  <c r="JX62" i="56"/>
  <c r="JW62" i="56"/>
  <c r="JV62" i="56"/>
  <c r="JU62" i="56"/>
  <c r="JT62" i="56"/>
  <c r="JS62" i="56"/>
  <c r="JR62" i="56"/>
  <c r="JQ62" i="56"/>
  <c r="JP62" i="56"/>
  <c r="JO62" i="56"/>
  <c r="JN62" i="56"/>
  <c r="JM62" i="56"/>
  <c r="JL62" i="56"/>
  <c r="JK62" i="56"/>
  <c r="JJ62" i="56"/>
  <c r="JI62" i="56"/>
  <c r="JH62" i="56"/>
  <c r="JG62" i="56"/>
  <c r="JF62" i="56"/>
  <c r="JE62" i="56"/>
  <c r="JD62" i="56"/>
  <c r="JC62" i="56"/>
  <c r="JB62" i="56"/>
  <c r="JA62" i="56"/>
  <c r="IZ62" i="56"/>
  <c r="IY62" i="56"/>
  <c r="IX62" i="56"/>
  <c r="IW62" i="56"/>
  <c r="IV62" i="56"/>
  <c r="IU62" i="56"/>
  <c r="IT62" i="56"/>
  <c r="IS62" i="56"/>
  <c r="IR62" i="56"/>
  <c r="IQ62" i="56"/>
  <c r="IP62" i="56"/>
  <c r="IO62" i="56"/>
  <c r="IN62" i="56"/>
  <c r="IM62" i="56"/>
  <c r="IL62" i="56"/>
  <c r="IK62" i="56"/>
  <c r="IJ62" i="56"/>
  <c r="II62" i="56"/>
  <c r="IH62" i="56"/>
  <c r="IG62" i="56"/>
  <c r="IF62" i="56"/>
  <c r="IE62" i="56"/>
  <c r="ID62" i="56"/>
  <c r="IC62" i="56"/>
  <c r="IB62" i="56"/>
  <c r="IA62" i="56"/>
  <c r="HZ62" i="56"/>
  <c r="HY62" i="56"/>
  <c r="HX62" i="56"/>
  <c r="HW62" i="56"/>
  <c r="HV62" i="56"/>
  <c r="HU62" i="56"/>
  <c r="HT62" i="56"/>
  <c r="HS62" i="56"/>
  <c r="HR62" i="56"/>
  <c r="HQ62" i="56"/>
  <c r="HP62" i="56"/>
  <c r="HO62" i="56"/>
  <c r="HN62" i="56"/>
  <c r="HM62" i="56"/>
  <c r="HL62" i="56"/>
  <c r="HK62" i="56"/>
  <c r="HJ62" i="56"/>
  <c r="HI62" i="56"/>
  <c r="HH62" i="56"/>
  <c r="HG62" i="56"/>
  <c r="HF62" i="56"/>
  <c r="HE62" i="56"/>
  <c r="HD62" i="56"/>
  <c r="HC62" i="56"/>
  <c r="HB62" i="56"/>
  <c r="HA62" i="56"/>
  <c r="GZ62" i="56"/>
  <c r="GY62" i="56"/>
  <c r="GX62" i="56"/>
  <c r="GW62" i="56"/>
  <c r="GV62" i="56"/>
  <c r="GU62" i="56"/>
  <c r="GT62" i="56"/>
  <c r="GS62" i="56"/>
  <c r="GR62" i="56"/>
  <c r="GQ62" i="56"/>
  <c r="GP62" i="56"/>
  <c r="GO62" i="56"/>
  <c r="GN62" i="56"/>
  <c r="GM62" i="56"/>
  <c r="GL62" i="56"/>
  <c r="GK62" i="56"/>
  <c r="GJ62" i="56"/>
  <c r="GI62" i="56"/>
  <c r="P68" i="56" s="1"/>
  <c r="GH62" i="56"/>
  <c r="GG62" i="56"/>
  <c r="GF62" i="56"/>
  <c r="GE62" i="56"/>
  <c r="GD62" i="56"/>
  <c r="GC62" i="56"/>
  <c r="GB62" i="56"/>
  <c r="GA62" i="56"/>
  <c r="FZ62" i="56"/>
  <c r="FY62" i="56"/>
  <c r="FX62" i="56"/>
  <c r="FW62" i="56"/>
  <c r="FV62" i="56"/>
  <c r="FU62" i="56"/>
  <c r="FT62" i="56"/>
  <c r="FS62" i="56"/>
  <c r="FR62" i="56"/>
  <c r="FQ62" i="56"/>
  <c r="FP62" i="56"/>
  <c r="FO62" i="56"/>
  <c r="FN62" i="56"/>
  <c r="FM62" i="56"/>
  <c r="FL62" i="56"/>
  <c r="FK62" i="56"/>
  <c r="FJ62" i="56"/>
  <c r="FI62" i="56"/>
  <c r="FH62" i="56"/>
  <c r="FG62" i="56"/>
  <c r="FF62" i="56"/>
  <c r="FE62" i="56"/>
  <c r="FD62" i="56"/>
  <c r="FC62" i="56"/>
  <c r="FB62" i="56"/>
  <c r="FA62" i="56"/>
  <c r="EZ62" i="56"/>
  <c r="EY62" i="56"/>
  <c r="EX62" i="56"/>
  <c r="EW62" i="56"/>
  <c r="EV62" i="56"/>
  <c r="EU62" i="56"/>
  <c r="ET62" i="56"/>
  <c r="ES62" i="56"/>
  <c r="ER62" i="56"/>
  <c r="EQ62" i="56"/>
  <c r="EP62" i="56"/>
  <c r="EO62" i="56"/>
  <c r="EN62" i="56"/>
  <c r="EM62" i="56"/>
  <c r="EL62" i="56"/>
  <c r="EK62" i="56"/>
  <c r="EJ62" i="56"/>
  <c r="EI62" i="56"/>
  <c r="EH62" i="56"/>
  <c r="EG62" i="56"/>
  <c r="EF62" i="56"/>
  <c r="EE62" i="56"/>
  <c r="ED62" i="56"/>
  <c r="EC62" i="56"/>
  <c r="EB62" i="56"/>
  <c r="EA62" i="56"/>
  <c r="DZ62" i="56"/>
  <c r="DY62" i="56"/>
  <c r="DX62" i="56"/>
  <c r="DW62" i="56"/>
  <c r="DV62" i="56"/>
  <c r="DU62" i="56"/>
  <c r="DT62" i="56"/>
  <c r="DS62" i="56"/>
  <c r="DR62" i="56"/>
  <c r="DQ62" i="56"/>
  <c r="DP62" i="56"/>
  <c r="DO62" i="56"/>
  <c r="DN62" i="56"/>
  <c r="DM62" i="56"/>
  <c r="DL62" i="56"/>
  <c r="DK62" i="56"/>
  <c r="DJ62" i="56"/>
  <c r="DI62" i="56"/>
  <c r="DH62" i="56"/>
  <c r="DG62" i="56"/>
  <c r="DF62" i="56"/>
  <c r="DE62" i="56"/>
  <c r="DD62" i="56"/>
  <c r="DC62" i="56"/>
  <c r="DB62" i="56"/>
  <c r="DA62" i="56"/>
  <c r="CZ62" i="56"/>
  <c r="CY62" i="56"/>
  <c r="CX62" i="56"/>
  <c r="CW62" i="56"/>
  <c r="CV62" i="56"/>
  <c r="CU62" i="56"/>
  <c r="CT62" i="56"/>
  <c r="CS62" i="56"/>
  <c r="CR62" i="56"/>
  <c r="CQ62" i="56"/>
  <c r="CP62" i="56"/>
  <c r="CO62" i="56"/>
  <c r="CN62" i="56"/>
  <c r="CM62" i="56"/>
  <c r="CL62" i="56"/>
  <c r="CK62" i="56"/>
  <c r="CJ62" i="56"/>
  <c r="CI62" i="56"/>
  <c r="CH62" i="56"/>
  <c r="CG62" i="56"/>
  <c r="CF62" i="56"/>
  <c r="CE62" i="56"/>
  <c r="CD62" i="56"/>
  <c r="CC62" i="56"/>
  <c r="CB62" i="56"/>
  <c r="CA62" i="56"/>
  <c r="BZ62" i="56"/>
  <c r="BY62" i="56"/>
  <c r="BX62" i="56"/>
  <c r="BW62" i="56"/>
  <c r="BV62" i="56"/>
  <c r="BU62" i="56"/>
  <c r="BT62" i="56"/>
  <c r="BS62" i="56"/>
  <c r="BR62" i="56"/>
  <c r="BQ62" i="56"/>
  <c r="BP62" i="56"/>
  <c r="BO62" i="56"/>
  <c r="BN62" i="56"/>
  <c r="BM62" i="56"/>
  <c r="BL62" i="56"/>
  <c r="BK62" i="56"/>
  <c r="BJ62" i="56"/>
  <c r="BI62" i="56"/>
  <c r="BH62" i="56"/>
  <c r="BG62" i="56"/>
  <c r="BF62" i="56"/>
  <c r="BE62" i="56"/>
  <c r="BD62" i="56"/>
  <c r="BC62" i="56"/>
  <c r="BB62" i="56"/>
  <c r="BA62" i="56"/>
  <c r="AZ62" i="56"/>
  <c r="AY62" i="56"/>
  <c r="AX62" i="56"/>
  <c r="AW62" i="56"/>
  <c r="AV62" i="56"/>
  <c r="AU62" i="56"/>
  <c r="AT62" i="56"/>
  <c r="AS62" i="56"/>
  <c r="AR62" i="56"/>
  <c r="AQ62" i="56"/>
  <c r="AP62" i="56"/>
  <c r="AO62" i="56"/>
  <c r="AN62" i="56"/>
  <c r="AM62" i="56"/>
  <c r="AL62" i="56"/>
  <c r="AK62" i="56"/>
  <c r="AJ62" i="56"/>
  <c r="AI62" i="56"/>
  <c r="AH62" i="56"/>
  <c r="AG62" i="56"/>
  <c r="AF62" i="56"/>
  <c r="AE62" i="56"/>
  <c r="AD62" i="56"/>
  <c r="AC62" i="56"/>
  <c r="AB62" i="56"/>
  <c r="AA62" i="56"/>
  <c r="Z62" i="56"/>
  <c r="Y62" i="56"/>
  <c r="X62" i="56"/>
  <c r="W62" i="56"/>
  <c r="V62" i="56"/>
  <c r="U62" i="56"/>
  <c r="T62" i="56"/>
  <c r="S62" i="56"/>
  <c r="R62" i="56"/>
  <c r="Q62" i="56"/>
  <c r="P62" i="56"/>
  <c r="O62" i="56"/>
  <c r="N62" i="56"/>
  <c r="M62" i="56"/>
  <c r="L62" i="56"/>
  <c r="K62" i="56"/>
  <c r="J62" i="56"/>
  <c r="I62" i="56"/>
  <c r="H62" i="56"/>
  <c r="G62" i="56"/>
  <c r="F62" i="56"/>
  <c r="E62" i="56"/>
  <c r="D62" i="56"/>
  <c r="C62" i="56"/>
  <c r="B62" i="56"/>
  <c r="SD2" i="56"/>
  <c r="SC2" i="56"/>
  <c r="SB2" i="56"/>
  <c r="SA2" i="56"/>
  <c r="RZ2" i="56"/>
  <c r="RY2" i="56"/>
  <c r="RX2" i="56"/>
  <c r="RW2" i="56"/>
  <c r="RV2" i="56"/>
  <c r="RU2" i="56"/>
  <c r="RT2" i="56"/>
  <c r="RS2" i="56"/>
  <c r="RR2" i="56"/>
  <c r="RQ2" i="56"/>
  <c r="RP2" i="56"/>
  <c r="RO2" i="56"/>
  <c r="RN2" i="56"/>
  <c r="RM2" i="56"/>
  <c r="RL2" i="56"/>
  <c r="RK2" i="56"/>
  <c r="RJ2" i="56"/>
  <c r="RI2" i="56"/>
  <c r="RH2" i="56"/>
  <c r="RG2" i="56"/>
  <c r="RF2" i="56"/>
  <c r="RE2" i="56"/>
  <c r="RD2" i="56"/>
  <c r="RC2" i="56"/>
  <c r="RB2" i="56"/>
  <c r="RA2" i="56"/>
  <c r="QZ2" i="56"/>
  <c r="QY2" i="56"/>
  <c r="QX2" i="56"/>
  <c r="QW2" i="56"/>
  <c r="QV2" i="56"/>
  <c r="QU2" i="56"/>
  <c r="QT2" i="56"/>
  <c r="QS2" i="56"/>
  <c r="QR2" i="56"/>
  <c r="QQ2" i="56"/>
  <c r="QP2" i="56"/>
  <c r="QO2" i="56"/>
  <c r="QN2" i="56"/>
  <c r="QM2" i="56"/>
  <c r="QL2" i="56"/>
  <c r="QK2" i="56"/>
  <c r="QJ2" i="56"/>
  <c r="QI2" i="56"/>
  <c r="QH2" i="56"/>
  <c r="QG2" i="56"/>
  <c r="QF2" i="56"/>
  <c r="QE2" i="56"/>
  <c r="QD2" i="56"/>
  <c r="QC2" i="56"/>
  <c r="QB2" i="56"/>
  <c r="QA2" i="56"/>
  <c r="PZ2" i="56"/>
  <c r="PY2" i="56"/>
  <c r="PX2" i="56"/>
  <c r="PW2" i="56"/>
  <c r="PV2" i="56"/>
  <c r="PU2" i="56"/>
  <c r="PT2" i="56"/>
  <c r="PS2" i="56"/>
  <c r="PR2" i="56"/>
  <c r="PQ2" i="56"/>
  <c r="PP2" i="56"/>
  <c r="PO2" i="56"/>
  <c r="PN2" i="56"/>
  <c r="PM2" i="56"/>
  <c r="PL2" i="56"/>
  <c r="PK2" i="56"/>
  <c r="PJ2" i="56"/>
  <c r="PI2" i="56"/>
  <c r="PH2" i="56"/>
  <c r="PG2" i="56"/>
  <c r="PF2" i="56"/>
  <c r="PE2" i="56"/>
  <c r="PD2" i="56"/>
  <c r="PC2" i="56"/>
  <c r="PB2" i="56"/>
  <c r="PA2" i="56"/>
  <c r="OZ2" i="56"/>
  <c r="OY2" i="56"/>
  <c r="OX2" i="56"/>
  <c r="OW2" i="56"/>
  <c r="OV2" i="56"/>
  <c r="OU2" i="56"/>
  <c r="OT2" i="56"/>
  <c r="OS2" i="56"/>
  <c r="OR2" i="56"/>
  <c r="OQ2" i="56"/>
  <c r="OP2" i="56"/>
  <c r="OO2" i="56"/>
  <c r="ON2" i="56"/>
  <c r="OM2" i="56"/>
  <c r="OL2" i="56"/>
  <c r="OK2" i="56"/>
  <c r="OJ2" i="56"/>
  <c r="OI2" i="56"/>
  <c r="OH2" i="56"/>
  <c r="OG2" i="56"/>
  <c r="OF2" i="56"/>
  <c r="OE2" i="56"/>
  <c r="OD2" i="56"/>
  <c r="OC2" i="56"/>
  <c r="OB2" i="56"/>
  <c r="OA2" i="56"/>
  <c r="NZ2" i="56"/>
  <c r="NY2" i="56"/>
  <c r="NX2" i="56"/>
  <c r="NW2" i="56"/>
  <c r="NV2" i="56"/>
  <c r="NU2" i="56"/>
  <c r="NT2" i="56"/>
  <c r="NS2" i="56"/>
  <c r="NR2" i="56"/>
  <c r="NQ2" i="56"/>
  <c r="NP2" i="56"/>
  <c r="NO2" i="56"/>
  <c r="NN2" i="56"/>
  <c r="NM2" i="56"/>
  <c r="NL2" i="56"/>
  <c r="NK2" i="56"/>
  <c r="NJ2" i="56"/>
  <c r="NI2" i="56"/>
  <c r="NH2" i="56"/>
  <c r="NG2" i="56"/>
  <c r="NF2" i="56"/>
  <c r="NE2" i="56"/>
  <c r="ND2" i="56"/>
  <c r="NC2" i="56"/>
  <c r="NB2" i="56"/>
  <c r="NA2" i="56"/>
  <c r="MZ2" i="56"/>
  <c r="MY2" i="56"/>
  <c r="MX2" i="56"/>
  <c r="MW2" i="56"/>
  <c r="MV2" i="56"/>
  <c r="MU2" i="56"/>
  <c r="MT2" i="56"/>
  <c r="MS2" i="56"/>
  <c r="MR2" i="56"/>
  <c r="MQ2" i="56"/>
  <c r="MP2" i="56"/>
  <c r="MO2" i="56"/>
  <c r="MN2" i="56"/>
  <c r="MM2" i="56"/>
  <c r="ML2" i="56"/>
  <c r="MK2" i="56"/>
  <c r="MJ2" i="56"/>
  <c r="MI2" i="56"/>
  <c r="MH2" i="56"/>
  <c r="MG2" i="56"/>
  <c r="MF2" i="56"/>
  <c r="ME2" i="56"/>
  <c r="MD2" i="56"/>
  <c r="MC2" i="56"/>
  <c r="MB2" i="56"/>
  <c r="MA2" i="56"/>
  <c r="LZ2" i="56"/>
  <c r="LY2" i="56"/>
  <c r="LX2" i="56"/>
  <c r="LW2" i="56"/>
  <c r="LV2" i="56"/>
  <c r="LU2" i="56"/>
  <c r="LT2" i="56"/>
  <c r="LS2" i="56"/>
  <c r="LR2" i="56"/>
  <c r="LQ2" i="56"/>
  <c r="LP2" i="56"/>
  <c r="LO2" i="56"/>
  <c r="LN2" i="56"/>
  <c r="LM2" i="56"/>
  <c r="LL2" i="56"/>
  <c r="LK2" i="56"/>
  <c r="LJ2" i="56"/>
  <c r="LI2" i="56"/>
  <c r="LH2" i="56"/>
  <c r="LG2" i="56"/>
  <c r="LF2" i="56"/>
  <c r="LE2" i="56"/>
  <c r="LD2" i="56"/>
  <c r="LC2" i="56"/>
  <c r="LB2" i="56"/>
  <c r="LA2" i="56"/>
  <c r="KZ2" i="56"/>
  <c r="KY2" i="56"/>
  <c r="KX2" i="56"/>
  <c r="KW2" i="56"/>
  <c r="KV2" i="56"/>
  <c r="KU2" i="56"/>
  <c r="KT2" i="56"/>
  <c r="KS2" i="56"/>
  <c r="KR2" i="56"/>
  <c r="KQ2" i="56"/>
  <c r="KP2" i="56"/>
  <c r="KO2" i="56"/>
  <c r="KN2" i="56"/>
  <c r="KM2" i="56"/>
  <c r="KL2" i="56"/>
  <c r="KK2" i="56"/>
  <c r="KJ2" i="56"/>
  <c r="KI2" i="56"/>
  <c r="KH2" i="56"/>
  <c r="KG2" i="56"/>
  <c r="KF2" i="56"/>
  <c r="KE2" i="56"/>
  <c r="KD2" i="56"/>
  <c r="KC2" i="56"/>
  <c r="KB2" i="56"/>
  <c r="KA2" i="56"/>
  <c r="JZ2" i="56"/>
  <c r="JY2" i="56"/>
  <c r="JX2" i="56"/>
  <c r="JW2" i="56"/>
  <c r="JV2" i="56"/>
  <c r="JU2" i="56"/>
  <c r="JT2" i="56"/>
  <c r="JS2" i="56"/>
  <c r="JR2" i="56"/>
  <c r="JQ2" i="56"/>
  <c r="JP2" i="56"/>
  <c r="JO2" i="56"/>
  <c r="JN2" i="56"/>
  <c r="JM2" i="56"/>
  <c r="JL2" i="56"/>
  <c r="JK2" i="56"/>
  <c r="JJ2" i="56"/>
  <c r="JI2" i="56"/>
  <c r="JH2" i="56"/>
  <c r="JG2" i="56"/>
  <c r="JF2" i="56"/>
  <c r="JE2" i="56"/>
  <c r="JD2" i="56"/>
  <c r="JC2" i="56"/>
  <c r="JB2" i="56"/>
  <c r="JA2" i="56"/>
  <c r="IZ2" i="56"/>
  <c r="IY2" i="56"/>
  <c r="IX2" i="56"/>
  <c r="IW2" i="56"/>
  <c r="IV2" i="56"/>
  <c r="IU2" i="56"/>
  <c r="IT2" i="56"/>
  <c r="IS2" i="56"/>
  <c r="IR2" i="56"/>
  <c r="IQ2" i="56"/>
  <c r="IP2" i="56"/>
  <c r="IO2" i="56"/>
  <c r="IN2" i="56"/>
  <c r="IM2" i="56"/>
  <c r="IL2" i="56"/>
  <c r="IK2" i="56"/>
  <c r="IJ2" i="56"/>
  <c r="II2" i="56"/>
  <c r="IH2" i="56"/>
  <c r="IG2" i="56"/>
  <c r="IF2" i="56"/>
  <c r="IE2" i="56"/>
  <c r="ID2" i="56"/>
  <c r="IC2" i="56"/>
  <c r="IB2" i="56"/>
  <c r="IA2" i="56"/>
  <c r="HZ2" i="56"/>
  <c r="HY2" i="56"/>
  <c r="HX2" i="56"/>
  <c r="HW2" i="56"/>
  <c r="HV2" i="56"/>
  <c r="HU2" i="56"/>
  <c r="HT2" i="56"/>
  <c r="HS2" i="56"/>
  <c r="HR2" i="56"/>
  <c r="HQ2" i="56"/>
  <c r="HP2" i="56"/>
  <c r="HO2" i="56"/>
  <c r="HN2" i="56"/>
  <c r="HM2" i="56"/>
  <c r="HL2" i="56"/>
  <c r="HK2" i="56"/>
  <c r="HJ2" i="56"/>
  <c r="HI2" i="56"/>
  <c r="HH2" i="56"/>
  <c r="HG2" i="56"/>
  <c r="HF2" i="56"/>
  <c r="HE2" i="56"/>
  <c r="HD2" i="56"/>
  <c r="HC2" i="56"/>
  <c r="HB2" i="56"/>
  <c r="HA2" i="56"/>
  <c r="GZ2" i="56"/>
  <c r="GY2" i="56"/>
  <c r="GX2" i="56"/>
  <c r="GW2" i="56"/>
  <c r="GV2" i="56"/>
  <c r="GU2" i="56"/>
  <c r="GT2" i="56"/>
  <c r="GS2" i="56"/>
  <c r="GR2" i="56"/>
  <c r="GQ2" i="56"/>
  <c r="GP2" i="56"/>
  <c r="GO2" i="56"/>
  <c r="GN2" i="56"/>
  <c r="GM2" i="56"/>
  <c r="GL2" i="56"/>
  <c r="GK2" i="56"/>
  <c r="GJ2" i="56"/>
  <c r="GI2" i="56"/>
  <c r="GH2" i="56"/>
  <c r="GG2" i="56"/>
  <c r="GF2" i="56"/>
  <c r="GE2" i="56"/>
  <c r="GD2" i="56"/>
  <c r="GC2" i="56"/>
  <c r="GB2" i="56"/>
  <c r="GA2" i="56"/>
  <c r="FZ2" i="56"/>
  <c r="FY2" i="56"/>
  <c r="FX2" i="56"/>
  <c r="FW2" i="56"/>
  <c r="FV2" i="56"/>
  <c r="FU2" i="56"/>
  <c r="FT2" i="56"/>
  <c r="FS2" i="56"/>
  <c r="FR2" i="56"/>
  <c r="FQ2" i="56"/>
  <c r="FP2" i="56"/>
  <c r="FO2" i="56"/>
  <c r="FN2" i="56"/>
  <c r="FM2" i="56"/>
  <c r="FL2" i="56"/>
  <c r="FK2" i="56"/>
  <c r="FJ2" i="56"/>
  <c r="FI2" i="56"/>
  <c r="FH2" i="56"/>
  <c r="FG2" i="56"/>
  <c r="FF2" i="56"/>
  <c r="FE2" i="56"/>
  <c r="FD2" i="56"/>
  <c r="FC2" i="56"/>
  <c r="FB2" i="56"/>
  <c r="FA2" i="56"/>
  <c r="EZ2" i="56"/>
  <c r="EY2" i="56"/>
  <c r="EX2" i="56"/>
  <c r="EW2" i="56"/>
  <c r="EV2" i="56"/>
  <c r="EU2" i="56"/>
  <c r="ET2" i="56"/>
  <c r="ES2" i="56"/>
  <c r="ER2" i="56"/>
  <c r="EQ2" i="56"/>
  <c r="EP2" i="56"/>
  <c r="EO2" i="56"/>
  <c r="EN2" i="56"/>
  <c r="EM2" i="56"/>
  <c r="EL2" i="56"/>
  <c r="EK2" i="56"/>
  <c r="EJ2" i="56"/>
  <c r="EI2" i="56"/>
  <c r="EH2" i="56"/>
  <c r="EG2" i="56"/>
  <c r="EF2" i="56"/>
  <c r="EE2" i="56"/>
  <c r="ED2" i="56"/>
  <c r="EC2" i="56"/>
  <c r="EB2" i="56"/>
  <c r="EA2" i="56"/>
  <c r="DZ2" i="56"/>
  <c r="DY2" i="56"/>
  <c r="DX2" i="56"/>
  <c r="DW2" i="56"/>
  <c r="DV2" i="56"/>
  <c r="DU2" i="56"/>
  <c r="DT2" i="56"/>
  <c r="DS2" i="56"/>
  <c r="DR2" i="56"/>
  <c r="DQ2" i="56"/>
  <c r="DP2" i="56"/>
  <c r="DO2" i="56"/>
  <c r="DN2" i="56"/>
  <c r="DM2" i="56"/>
  <c r="DL2" i="56"/>
  <c r="DK2" i="56"/>
  <c r="DJ2" i="56"/>
  <c r="DI2" i="56"/>
  <c r="DH2" i="56"/>
  <c r="DG2" i="56"/>
  <c r="DF2" i="56"/>
  <c r="DE2" i="56"/>
  <c r="DD2" i="56"/>
  <c r="DC2" i="56"/>
  <c r="DB2" i="56"/>
  <c r="DA2" i="56"/>
  <c r="CZ2" i="56"/>
  <c r="CY2" i="56"/>
  <c r="CX2" i="56"/>
  <c r="CW2" i="56"/>
  <c r="CV2" i="56"/>
  <c r="CU2" i="56"/>
  <c r="CT2" i="56"/>
  <c r="CS2" i="56"/>
  <c r="CR2" i="56"/>
  <c r="CQ2" i="56"/>
  <c r="CP2" i="56"/>
  <c r="CO2" i="56"/>
  <c r="CN2" i="56"/>
  <c r="CM2" i="56"/>
  <c r="CL2" i="56"/>
  <c r="CK2" i="56"/>
  <c r="CJ2" i="56"/>
  <c r="CI2" i="56"/>
  <c r="CH2" i="56"/>
  <c r="CG2" i="56"/>
  <c r="CF2" i="56"/>
  <c r="CE2" i="56"/>
  <c r="CD2" i="56"/>
  <c r="CC2" i="56"/>
  <c r="CB2" i="56"/>
  <c r="CA2" i="56"/>
  <c r="BZ2" i="56"/>
  <c r="BY2" i="56"/>
  <c r="BX2" i="56"/>
  <c r="BW2" i="56"/>
  <c r="BV2" i="56"/>
  <c r="BU2" i="56"/>
  <c r="BT2" i="56"/>
  <c r="BS2" i="56"/>
  <c r="BR2" i="56"/>
  <c r="BQ2" i="56"/>
  <c r="BP2" i="56"/>
  <c r="BO2" i="56"/>
  <c r="BN2" i="56"/>
  <c r="BM2" i="56"/>
  <c r="BL2" i="56"/>
  <c r="BK2" i="56"/>
  <c r="BJ2" i="56"/>
  <c r="BI2" i="56"/>
  <c r="BH2" i="56"/>
  <c r="BG2" i="56"/>
  <c r="BF2" i="56"/>
  <c r="BE2" i="56"/>
  <c r="BD2" i="56"/>
  <c r="BC2" i="56"/>
  <c r="BB2" i="56"/>
  <c r="BA2" i="56"/>
  <c r="AZ2" i="56"/>
  <c r="AY2" i="56"/>
  <c r="AX2" i="56"/>
  <c r="AW2" i="56"/>
  <c r="AV2" i="56"/>
  <c r="AU2" i="56"/>
  <c r="AT2" i="56"/>
  <c r="AS2" i="56"/>
  <c r="AR2" i="56"/>
  <c r="AQ2" i="56"/>
  <c r="AP2" i="56"/>
  <c r="AO2" i="56"/>
  <c r="AN2" i="56"/>
  <c r="AM2" i="56"/>
  <c r="AL2" i="56"/>
  <c r="AK2" i="56"/>
  <c r="AJ2" i="56"/>
  <c r="AI2" i="56"/>
  <c r="AH2" i="56"/>
  <c r="AG2" i="56"/>
  <c r="AF2" i="56"/>
  <c r="AE2" i="56"/>
  <c r="AD2" i="56"/>
  <c r="AC2" i="56"/>
  <c r="AB2" i="56"/>
  <c r="AA2" i="56"/>
  <c r="Z2" i="56"/>
  <c r="Y2" i="56"/>
  <c r="X2" i="56"/>
  <c r="W2" i="56"/>
  <c r="V2" i="56"/>
  <c r="U2" i="56"/>
  <c r="T2" i="56"/>
  <c r="S2" i="56"/>
  <c r="R2" i="56"/>
  <c r="Q2" i="56"/>
  <c r="P2" i="56"/>
  <c r="O2" i="56"/>
  <c r="N2" i="56"/>
  <c r="M2" i="56"/>
  <c r="L2" i="56"/>
  <c r="K2" i="56"/>
  <c r="J2" i="56"/>
  <c r="I2" i="56"/>
  <c r="H2" i="56"/>
  <c r="G2" i="56"/>
  <c r="F2" i="56"/>
  <c r="E2" i="56"/>
  <c r="D2" i="56"/>
  <c r="C2" i="56"/>
  <c r="B2" i="56"/>
  <c r="SD1" i="56"/>
  <c r="SC1" i="56"/>
  <c r="SB1" i="56"/>
  <c r="SA1" i="56"/>
  <c r="RZ1" i="56"/>
  <c r="RY1" i="56"/>
  <c r="RX1" i="56"/>
  <c r="RW1" i="56"/>
  <c r="RV1" i="56"/>
  <c r="RU1" i="56"/>
  <c r="RT1" i="56"/>
  <c r="RS1" i="56"/>
  <c r="RR1" i="56"/>
  <c r="RQ1" i="56"/>
  <c r="RP1" i="56"/>
  <c r="RO1" i="56"/>
  <c r="RN1" i="56"/>
  <c r="RM1" i="56"/>
  <c r="RL1" i="56"/>
  <c r="RK1" i="56"/>
  <c r="RJ1" i="56"/>
  <c r="RI1" i="56"/>
  <c r="RH1" i="56"/>
  <c r="RG1" i="56"/>
  <c r="RF1" i="56"/>
  <c r="RE1" i="56"/>
  <c r="RD1" i="56"/>
  <c r="RC1" i="56"/>
  <c r="RB1" i="56"/>
  <c r="RA1" i="56"/>
  <c r="QZ1" i="56"/>
  <c r="QY1" i="56"/>
  <c r="QX1" i="56"/>
  <c r="QW1" i="56"/>
  <c r="QV1" i="56"/>
  <c r="QU1" i="56"/>
  <c r="QT1" i="56"/>
  <c r="QS1" i="56"/>
  <c r="QR1" i="56"/>
  <c r="QQ1" i="56"/>
  <c r="QP1" i="56"/>
  <c r="QO1" i="56"/>
  <c r="QN1" i="56"/>
  <c r="QM1" i="56"/>
  <c r="QL1" i="56"/>
  <c r="QK1" i="56"/>
  <c r="QJ1" i="56"/>
  <c r="QI1" i="56"/>
  <c r="QH1" i="56"/>
  <c r="QG1" i="56"/>
  <c r="QF1" i="56"/>
  <c r="QE1" i="56"/>
  <c r="QD1" i="56"/>
  <c r="QC1" i="56"/>
  <c r="QB1" i="56"/>
  <c r="QA1" i="56"/>
  <c r="PZ1" i="56"/>
  <c r="PY1" i="56"/>
  <c r="PX1" i="56"/>
  <c r="PW1" i="56"/>
  <c r="PV1" i="56"/>
  <c r="PU1" i="56"/>
  <c r="PT1" i="56"/>
  <c r="PS1" i="56"/>
  <c r="PR1" i="56"/>
  <c r="PQ1" i="56"/>
  <c r="PP1" i="56"/>
  <c r="PO1" i="56"/>
  <c r="PN1" i="56"/>
  <c r="PM1" i="56"/>
  <c r="PL1" i="56"/>
  <c r="PK1" i="56"/>
  <c r="PJ1" i="56"/>
  <c r="PI1" i="56"/>
  <c r="PH1" i="56"/>
  <c r="PG1" i="56"/>
  <c r="PF1" i="56"/>
  <c r="PE1" i="56"/>
  <c r="PD1" i="56"/>
  <c r="PC1" i="56"/>
  <c r="PB1" i="56"/>
  <c r="PA1" i="56"/>
  <c r="OZ1" i="56"/>
  <c r="OY1" i="56"/>
  <c r="OX1" i="56"/>
  <c r="OW1" i="56"/>
  <c r="OV1" i="56"/>
  <c r="OU1" i="56"/>
  <c r="OT1" i="56"/>
  <c r="OS1" i="56"/>
  <c r="OR1" i="56"/>
  <c r="OQ1" i="56"/>
  <c r="OP1" i="56"/>
  <c r="OO1" i="56"/>
  <c r="ON1" i="56"/>
  <c r="OM1" i="56"/>
  <c r="OL1" i="56"/>
  <c r="OK1" i="56"/>
  <c r="OJ1" i="56"/>
  <c r="OI1" i="56"/>
  <c r="OH1" i="56"/>
  <c r="OG1" i="56"/>
  <c r="OF1" i="56"/>
  <c r="OE1" i="56"/>
  <c r="OD1" i="56"/>
  <c r="OC1" i="56"/>
  <c r="OB1" i="56"/>
  <c r="OA1" i="56"/>
  <c r="NZ1" i="56"/>
  <c r="NY1" i="56"/>
  <c r="NX1" i="56"/>
  <c r="NW1" i="56"/>
  <c r="NV1" i="56"/>
  <c r="NU1" i="56"/>
  <c r="NT1" i="56"/>
  <c r="NS1" i="56"/>
  <c r="NR1" i="56"/>
  <c r="NQ1" i="56"/>
  <c r="NP1" i="56"/>
  <c r="NO1" i="56"/>
  <c r="NN1" i="56"/>
  <c r="NM1" i="56"/>
  <c r="NL1" i="56"/>
  <c r="NK1" i="56"/>
  <c r="NJ1" i="56"/>
  <c r="NI1" i="56"/>
  <c r="NH1" i="56"/>
  <c r="NG1" i="56"/>
  <c r="NF1" i="56"/>
  <c r="NE1" i="56"/>
  <c r="ND1" i="56"/>
  <c r="NC1" i="56"/>
  <c r="NB1" i="56"/>
  <c r="NA1" i="56"/>
  <c r="MZ1" i="56"/>
  <c r="MY1" i="56"/>
  <c r="MX1" i="56"/>
  <c r="MW1" i="56"/>
  <c r="MV1" i="56"/>
  <c r="MU1" i="56"/>
  <c r="MT1" i="56"/>
  <c r="MS1" i="56"/>
  <c r="MR1" i="56"/>
  <c r="MQ1" i="56"/>
  <c r="MP1" i="56"/>
  <c r="MO1" i="56"/>
  <c r="MN1" i="56"/>
  <c r="MM1" i="56"/>
  <c r="ML1" i="56"/>
  <c r="MK1" i="56"/>
  <c r="MJ1" i="56"/>
  <c r="MI1" i="56"/>
  <c r="MH1" i="56"/>
  <c r="MG1" i="56"/>
  <c r="MF1" i="56"/>
  <c r="ME1" i="56"/>
  <c r="MD1" i="56"/>
  <c r="MC1" i="56"/>
  <c r="MB1" i="56"/>
  <c r="MA1" i="56"/>
  <c r="LZ1" i="56"/>
  <c r="LY1" i="56"/>
  <c r="LX1" i="56"/>
  <c r="LW1" i="56"/>
  <c r="LV1" i="56"/>
  <c r="LU1" i="56"/>
  <c r="LT1" i="56"/>
  <c r="LS1" i="56"/>
  <c r="LR1" i="56"/>
  <c r="LQ1" i="56"/>
  <c r="LP1" i="56"/>
  <c r="LO1" i="56"/>
  <c r="LN1" i="56"/>
  <c r="LM1" i="56"/>
  <c r="LL1" i="56"/>
  <c r="LK1" i="56"/>
  <c r="LJ1" i="56"/>
  <c r="LI1" i="56"/>
  <c r="LH1" i="56"/>
  <c r="LG1" i="56"/>
  <c r="LF1" i="56"/>
  <c r="LE1" i="56"/>
  <c r="LD1" i="56"/>
  <c r="LC1" i="56"/>
  <c r="LB1" i="56"/>
  <c r="LA1" i="56"/>
  <c r="KZ1" i="56"/>
  <c r="KY1" i="56"/>
  <c r="KX1" i="56"/>
  <c r="KW1" i="56"/>
  <c r="KV1" i="56"/>
  <c r="KU1" i="56"/>
  <c r="KT1" i="56"/>
  <c r="KS1" i="56"/>
  <c r="KR1" i="56"/>
  <c r="KQ1" i="56"/>
  <c r="KP1" i="56"/>
  <c r="KO1" i="56"/>
  <c r="KN1" i="56"/>
  <c r="KM1" i="56"/>
  <c r="KL1" i="56"/>
  <c r="KK1" i="56"/>
  <c r="KJ1" i="56"/>
  <c r="KI1" i="56"/>
  <c r="KH1" i="56"/>
  <c r="KG1" i="56"/>
  <c r="KF1" i="56"/>
  <c r="KE1" i="56"/>
  <c r="KD1" i="56"/>
  <c r="KC1" i="56"/>
  <c r="KB1" i="56"/>
  <c r="KA1" i="56"/>
  <c r="JZ1" i="56"/>
  <c r="JY1" i="56"/>
  <c r="JX1" i="56"/>
  <c r="JW1" i="56"/>
  <c r="JV1" i="56"/>
  <c r="JU1" i="56"/>
  <c r="JT1" i="56"/>
  <c r="JS1" i="56"/>
  <c r="JR1" i="56"/>
  <c r="JQ1" i="56"/>
  <c r="JP1" i="56"/>
  <c r="JO1" i="56"/>
  <c r="JN1" i="56"/>
  <c r="JM1" i="56"/>
  <c r="JL1" i="56"/>
  <c r="JK1" i="56"/>
  <c r="JJ1" i="56"/>
  <c r="JI1" i="56"/>
  <c r="JH1" i="56"/>
  <c r="JG1" i="56"/>
  <c r="JF1" i="56"/>
  <c r="JE1" i="56"/>
  <c r="JD1" i="56"/>
  <c r="JC1" i="56"/>
  <c r="JB1" i="56"/>
  <c r="JA1" i="56"/>
  <c r="IZ1" i="56"/>
  <c r="IY1" i="56"/>
  <c r="IX1" i="56"/>
  <c r="IW1" i="56"/>
  <c r="IV1" i="56"/>
  <c r="IU1" i="56"/>
  <c r="IT1" i="56"/>
  <c r="IS1" i="56"/>
  <c r="IR1" i="56"/>
  <c r="IQ1" i="56"/>
  <c r="IP1" i="56"/>
  <c r="IO1" i="56"/>
  <c r="IN1" i="56"/>
  <c r="IM1" i="56"/>
  <c r="IL1" i="56"/>
  <c r="IK1" i="56"/>
  <c r="IJ1" i="56"/>
  <c r="II1" i="56"/>
  <c r="IH1" i="56"/>
  <c r="IG1" i="56"/>
  <c r="IF1" i="56"/>
  <c r="IE1" i="56"/>
  <c r="ID1" i="56"/>
  <c r="IC1" i="56"/>
  <c r="IB1" i="56"/>
  <c r="IA1" i="56"/>
  <c r="HZ1" i="56"/>
  <c r="HY1" i="56"/>
  <c r="HX1" i="56"/>
  <c r="HW1" i="56"/>
  <c r="HV1" i="56"/>
  <c r="HU1" i="56"/>
  <c r="HT1" i="56"/>
  <c r="HS1" i="56"/>
  <c r="HR1" i="56"/>
  <c r="HQ1" i="56"/>
  <c r="HP1" i="56"/>
  <c r="HO1" i="56"/>
  <c r="HN1" i="56"/>
  <c r="HM1" i="56"/>
  <c r="HL1" i="56"/>
  <c r="HK1" i="56"/>
  <c r="HJ1" i="56"/>
  <c r="HI1" i="56"/>
  <c r="HH1" i="56"/>
  <c r="HG1" i="56"/>
  <c r="HF1" i="56"/>
  <c r="HE1" i="56"/>
  <c r="HD1" i="56"/>
  <c r="HC1" i="56"/>
  <c r="HB1" i="56"/>
  <c r="HA1" i="56"/>
  <c r="GZ1" i="56"/>
  <c r="GY1" i="56"/>
  <c r="GX1" i="56"/>
  <c r="GW1" i="56"/>
  <c r="GV1" i="56"/>
  <c r="GU1" i="56"/>
  <c r="GT1" i="56"/>
  <c r="GS1" i="56"/>
  <c r="GR1" i="56"/>
  <c r="GQ1" i="56"/>
  <c r="GP1" i="56"/>
  <c r="GO1" i="56"/>
  <c r="GN1" i="56"/>
  <c r="GM1" i="56"/>
  <c r="GL1" i="56"/>
  <c r="GK1" i="56"/>
  <c r="GJ1" i="56"/>
  <c r="GI1" i="56"/>
  <c r="GH1" i="56"/>
  <c r="GG1" i="56"/>
  <c r="GF1" i="56"/>
  <c r="GE1" i="56"/>
  <c r="GD1" i="56"/>
  <c r="GC1" i="56"/>
  <c r="GB1" i="56"/>
  <c r="GA1" i="56"/>
  <c r="FZ1" i="56"/>
  <c r="FY1" i="56"/>
  <c r="FX1" i="56"/>
  <c r="FW1" i="56"/>
  <c r="FV1" i="56"/>
  <c r="FU1" i="56"/>
  <c r="FT1" i="56"/>
  <c r="FS1" i="56"/>
  <c r="FR1" i="56"/>
  <c r="FQ1" i="56"/>
  <c r="FP1" i="56"/>
  <c r="FO1" i="56"/>
  <c r="FN1" i="56"/>
  <c r="FM1" i="56"/>
  <c r="FL1" i="56"/>
  <c r="FK1" i="56"/>
  <c r="FJ1" i="56"/>
  <c r="FI1" i="56"/>
  <c r="FH1" i="56"/>
  <c r="FG1" i="56"/>
  <c r="FF1" i="56"/>
  <c r="FE1" i="56"/>
  <c r="FD1" i="56"/>
  <c r="FC1" i="56"/>
  <c r="FB1" i="56"/>
  <c r="FA1" i="56"/>
  <c r="EZ1" i="56"/>
  <c r="EY1" i="56"/>
  <c r="EX1" i="56"/>
  <c r="EW1" i="56"/>
  <c r="EV1" i="56"/>
  <c r="EU1" i="56"/>
  <c r="ET1" i="56"/>
  <c r="ES1" i="56"/>
  <c r="ER1" i="56"/>
  <c r="EQ1" i="56"/>
  <c r="EP1" i="56"/>
  <c r="EO1" i="56"/>
  <c r="EN1" i="56"/>
  <c r="EM1" i="56"/>
  <c r="EL1" i="56"/>
  <c r="EK1" i="56"/>
  <c r="EJ1" i="56"/>
  <c r="EI1" i="56"/>
  <c r="EH1" i="56"/>
  <c r="EG1" i="56"/>
  <c r="EF1" i="56"/>
  <c r="EE1" i="56"/>
  <c r="ED1" i="56"/>
  <c r="EC1" i="56"/>
  <c r="EB1" i="56"/>
  <c r="EA1" i="56"/>
  <c r="DZ1" i="56"/>
  <c r="DY1" i="56"/>
  <c r="DX1" i="56"/>
  <c r="DW1" i="56"/>
  <c r="DV1" i="56"/>
  <c r="DU1" i="56"/>
  <c r="DT1" i="56"/>
  <c r="DS1" i="56"/>
  <c r="DR1" i="56"/>
  <c r="DQ1" i="56"/>
  <c r="DP1" i="56"/>
  <c r="DO1" i="56"/>
  <c r="DN1" i="56"/>
  <c r="DM1" i="56"/>
  <c r="DL1" i="56"/>
  <c r="DK1" i="56"/>
  <c r="DJ1" i="56"/>
  <c r="DI1" i="56"/>
  <c r="DH1" i="56"/>
  <c r="DG1" i="56"/>
  <c r="DF1" i="56"/>
  <c r="DE1" i="56"/>
  <c r="DD1" i="56"/>
  <c r="DC1" i="56"/>
  <c r="DB1" i="56"/>
  <c r="DA1" i="56"/>
  <c r="CZ1" i="56"/>
  <c r="CY1" i="56"/>
  <c r="CX1" i="56"/>
  <c r="CW1" i="56"/>
  <c r="CV1" i="56"/>
  <c r="CU1" i="56"/>
  <c r="CT1" i="56"/>
  <c r="CS1" i="56"/>
  <c r="CR1" i="56"/>
  <c r="CQ1" i="56"/>
  <c r="CP1" i="56"/>
  <c r="CO1" i="56"/>
  <c r="CN1" i="56"/>
  <c r="CM1" i="56"/>
  <c r="CL1" i="56"/>
  <c r="CK1" i="56"/>
  <c r="CJ1" i="56"/>
  <c r="CI1" i="56"/>
  <c r="CH1" i="56"/>
  <c r="CG1" i="56"/>
  <c r="CF1" i="56"/>
  <c r="CE1" i="56"/>
  <c r="CD1" i="56"/>
  <c r="CC1" i="56"/>
  <c r="CB1" i="56"/>
  <c r="CA1" i="56"/>
  <c r="BZ1" i="56"/>
  <c r="BY1" i="56"/>
  <c r="BX1" i="56"/>
  <c r="BW1" i="56"/>
  <c r="BV1" i="56"/>
  <c r="BU1" i="56"/>
  <c r="BT1" i="56"/>
  <c r="BS1" i="56"/>
  <c r="BR1" i="56"/>
  <c r="BQ1" i="56"/>
  <c r="BP1" i="56"/>
  <c r="BO1" i="56"/>
  <c r="BN1" i="56"/>
  <c r="BM1" i="56"/>
  <c r="BL1" i="56"/>
  <c r="BK1" i="56"/>
  <c r="BJ1" i="56"/>
  <c r="BI1" i="56"/>
  <c r="BH1" i="56"/>
  <c r="BG1" i="56"/>
  <c r="BF1" i="56"/>
  <c r="BE1" i="56"/>
  <c r="BD1" i="56"/>
  <c r="BC1" i="56"/>
  <c r="BB1" i="56"/>
  <c r="BA1" i="56"/>
  <c r="AZ1" i="56"/>
  <c r="AY1" i="56"/>
  <c r="AX1" i="56"/>
  <c r="AW1" i="56"/>
  <c r="AV1" i="56"/>
  <c r="AU1" i="56"/>
  <c r="AT1" i="56"/>
  <c r="AS1" i="56"/>
  <c r="AR1" i="56"/>
  <c r="AQ1" i="56"/>
  <c r="AP1" i="56"/>
  <c r="AO1" i="56"/>
  <c r="AN1" i="56"/>
  <c r="AM1" i="56"/>
  <c r="AL1" i="56"/>
  <c r="AK1" i="56"/>
  <c r="AJ1" i="56"/>
  <c r="AI1" i="56"/>
  <c r="AH1" i="56"/>
  <c r="AG1" i="56"/>
  <c r="AF1" i="56"/>
  <c r="AE1" i="56"/>
  <c r="AD1" i="56"/>
  <c r="AC1" i="56"/>
  <c r="AB1" i="56"/>
  <c r="AA1" i="56"/>
  <c r="Z1" i="56"/>
  <c r="Y1" i="56"/>
  <c r="X1" i="56"/>
  <c r="W1" i="56"/>
  <c r="V1" i="56"/>
  <c r="U1" i="56"/>
  <c r="T1" i="56"/>
  <c r="S1" i="56"/>
  <c r="R1" i="56"/>
  <c r="Q1" i="56"/>
  <c r="P1" i="56"/>
  <c r="O1" i="56"/>
  <c r="N1" i="56"/>
  <c r="M1" i="56"/>
  <c r="L1" i="56"/>
  <c r="K1" i="56"/>
  <c r="J1" i="56"/>
  <c r="I1" i="56"/>
  <c r="H1" i="56"/>
  <c r="G1" i="56"/>
  <c r="F1" i="56"/>
  <c r="E1" i="56"/>
  <c r="D1" i="56"/>
  <c r="C1" i="56"/>
  <c r="B1" i="56"/>
  <c r="I17" i="54"/>
  <c r="BG1" i="54"/>
  <c r="S1" i="54"/>
  <c r="AL1" i="55"/>
  <c r="BJ1" i="55"/>
  <c r="AG1" i="55"/>
  <c r="R1" i="54"/>
  <c r="AQ1" i="54"/>
  <c r="AH1" i="54"/>
  <c r="BQ1" i="54"/>
  <c r="AY1" i="55"/>
  <c r="Y1" i="55"/>
  <c r="BQ1" i="55"/>
  <c r="AW1" i="54"/>
  <c r="T1" i="55"/>
  <c r="Z1" i="54"/>
  <c r="BD1" i="55"/>
  <c r="AS1" i="55"/>
  <c r="BO1" i="54"/>
  <c r="V1" i="54"/>
  <c r="S1" i="55"/>
  <c r="AE1" i="54"/>
  <c r="AU1" i="55"/>
  <c r="AA1" i="54"/>
  <c r="BB1" i="54"/>
  <c r="BE1" i="54"/>
  <c r="AT1" i="54"/>
  <c r="BM1" i="54"/>
  <c r="R1" i="55"/>
  <c r="Y1" i="54"/>
  <c r="BC1" i="55"/>
  <c r="BN1" i="54"/>
  <c r="AN1" i="55"/>
  <c r="W1" i="54"/>
  <c r="AW1" i="55"/>
  <c r="V1" i="55"/>
  <c r="BR1" i="54"/>
  <c r="BF1" i="55"/>
  <c r="BA1" i="55"/>
  <c r="AF1" i="55"/>
  <c r="BD1" i="54"/>
  <c r="AN1" i="54"/>
  <c r="BB1" i="55"/>
  <c r="AO1" i="55"/>
  <c r="BS1" i="54"/>
  <c r="AR1" i="54"/>
  <c r="AG1" i="54"/>
  <c r="AZ1" i="55"/>
  <c r="AX1" i="55"/>
  <c r="BP1" i="54"/>
  <c r="BP1" i="55"/>
  <c r="AQ1" i="55"/>
  <c r="AF1" i="54"/>
  <c r="AC1" i="54"/>
  <c r="AS1" i="54"/>
  <c r="W1" i="55"/>
  <c r="U1" i="54"/>
  <c r="BO1" i="55"/>
  <c r="AU1" i="54"/>
  <c r="AY1" i="54"/>
  <c r="BE1" i="55"/>
  <c r="AD1" i="55"/>
  <c r="BK1" i="54"/>
  <c r="BC1" i="54"/>
  <c r="AE1" i="55"/>
  <c r="AM1" i="54"/>
  <c r="BF1" i="54"/>
  <c r="AB1" i="55"/>
  <c r="AB1" i="54"/>
  <c r="BM1" i="55"/>
  <c r="AJ1" i="55"/>
  <c r="BH1" i="55"/>
  <c r="AH1" i="55"/>
  <c r="BI1" i="54"/>
  <c r="BL1" i="54"/>
  <c r="AK1" i="55"/>
  <c r="AJ1" i="54"/>
  <c r="AT1" i="55"/>
  <c r="BN1" i="55"/>
  <c r="X1" i="54"/>
  <c r="Z1" i="55"/>
  <c r="X1" i="55"/>
  <c r="BH1" i="54"/>
  <c r="BG1" i="55"/>
  <c r="AR1" i="55"/>
  <c r="AV1" i="54"/>
  <c r="AP1" i="54"/>
  <c r="BS1" i="55"/>
  <c r="T1" i="54"/>
  <c r="U1" i="55"/>
  <c r="AV1" i="55"/>
  <c r="AK1" i="54"/>
  <c r="BI1" i="55"/>
  <c r="AA1" i="55"/>
  <c r="BK1" i="55"/>
  <c r="AX1" i="54"/>
  <c r="BJ1" i="54"/>
  <c r="AI1" i="54"/>
  <c r="AZ1" i="54"/>
  <c r="AD1" i="54"/>
  <c r="BR1" i="55"/>
  <c r="AO1" i="54"/>
  <c r="AI1" i="55"/>
  <c r="BA1" i="54"/>
  <c r="BL1" i="55"/>
  <c r="AP1" i="55"/>
  <c r="AL1" i="54"/>
  <c r="AM1" i="55"/>
  <c r="AC1" i="55"/>
  <c r="H15" i="54" l="1"/>
  <c r="L164" i="56"/>
  <c r="AR66" i="56"/>
  <c r="C11" i="54"/>
  <c r="D11" i="54"/>
  <c r="K11" i="54"/>
  <c r="O15" i="54"/>
  <c r="AF68" i="56"/>
  <c r="E13" i="54"/>
  <c r="Q17" i="54"/>
  <c r="BH70" i="56"/>
  <c r="F13" i="54"/>
  <c r="K19" i="54"/>
  <c r="V71" i="56"/>
  <c r="J17" i="54"/>
  <c r="P8" i="54"/>
  <c r="M13" i="54"/>
  <c r="L19" i="54"/>
  <c r="D75" i="56"/>
  <c r="Q8" i="54"/>
  <c r="G15" i="54"/>
  <c r="D20" i="54"/>
  <c r="BP75" i="56"/>
  <c r="I9" i="54"/>
  <c r="D19" i="54"/>
  <c r="S74" i="56"/>
  <c r="AJ160" i="56"/>
  <c r="AB66" i="56"/>
  <c r="B65" i="56"/>
  <c r="BJ76" i="56"/>
  <c r="J9" i="54"/>
  <c r="E20" i="54"/>
  <c r="F67" i="56"/>
  <c r="BD77" i="56"/>
  <c r="Q9" i="54"/>
  <c r="D12" i="54"/>
  <c r="F14" i="54"/>
  <c r="H16" i="54"/>
  <c r="J18" i="54"/>
  <c r="L20" i="54"/>
  <c r="AH65" i="56"/>
  <c r="V67" i="56"/>
  <c r="Y69" i="56"/>
  <c r="AV72" i="56"/>
  <c r="BJ78" i="56"/>
  <c r="AV68" i="56"/>
  <c r="N13" i="54"/>
  <c r="R65" i="56"/>
  <c r="P72" i="56"/>
  <c r="C10" i="54"/>
  <c r="E12" i="54"/>
  <c r="G14" i="54"/>
  <c r="I16" i="54"/>
  <c r="K18" i="54"/>
  <c r="M20" i="54"/>
  <c r="AX65" i="56"/>
  <c r="AL67" i="56"/>
  <c r="AX69" i="56"/>
  <c r="J73" i="56"/>
  <c r="AX155" i="56"/>
  <c r="BB71" i="56"/>
  <c r="L11" i="54"/>
  <c r="C18" i="54"/>
  <c r="K20" i="54"/>
  <c r="BP68" i="56"/>
  <c r="H8" i="54"/>
  <c r="J10" i="54"/>
  <c r="L12" i="54"/>
  <c r="N14" i="54"/>
  <c r="P16" i="54"/>
  <c r="C19" i="54"/>
  <c r="BN65" i="56"/>
  <c r="BB67" i="56"/>
  <c r="E70" i="56"/>
  <c r="AQ73" i="56"/>
  <c r="AL157" i="56"/>
  <c r="BH66" i="56"/>
  <c r="P15" i="54"/>
  <c r="I8" i="54"/>
  <c r="K10" i="54"/>
  <c r="M12" i="54"/>
  <c r="O14" i="54"/>
  <c r="Q16" i="54"/>
  <c r="L66" i="56"/>
  <c r="BR67" i="56"/>
  <c r="AE70" i="56"/>
  <c r="BQ167" i="56"/>
  <c r="BI167" i="56"/>
  <c r="BA167" i="56"/>
  <c r="AS167" i="56"/>
  <c r="AK167" i="56"/>
  <c r="AC167" i="56"/>
  <c r="U167" i="56"/>
  <c r="M167" i="56"/>
  <c r="E167" i="56"/>
  <c r="BO166" i="56"/>
  <c r="BG166" i="56"/>
  <c r="AY166" i="56"/>
  <c r="AQ166" i="56"/>
  <c r="AI166" i="56"/>
  <c r="AA166" i="56"/>
  <c r="S166" i="56"/>
  <c r="K166" i="56"/>
  <c r="C166" i="56"/>
  <c r="BM165" i="56"/>
  <c r="BE165" i="56"/>
  <c r="AW165" i="56"/>
  <c r="AO165" i="56"/>
  <c r="AG165" i="56"/>
  <c r="Y165" i="56"/>
  <c r="Q165" i="56"/>
  <c r="I165" i="56"/>
  <c r="BS164" i="56"/>
  <c r="BK164" i="56"/>
  <c r="BC164" i="56"/>
  <c r="AU164" i="56"/>
  <c r="AM164" i="56"/>
  <c r="AE164" i="56"/>
  <c r="W164" i="56"/>
  <c r="O164" i="56"/>
  <c r="G164" i="56"/>
  <c r="BQ163" i="56"/>
  <c r="BI163" i="56"/>
  <c r="BA163" i="56"/>
  <c r="AS163" i="56"/>
  <c r="AK163" i="56"/>
  <c r="AC163" i="56"/>
  <c r="U163" i="56"/>
  <c r="M163" i="56"/>
  <c r="E163" i="56"/>
  <c r="BO162" i="56"/>
  <c r="BG162" i="56"/>
  <c r="AY162" i="56"/>
  <c r="AQ162" i="56"/>
  <c r="AI162" i="56"/>
  <c r="AA162" i="56"/>
  <c r="S162" i="56"/>
  <c r="K162" i="56"/>
  <c r="C162" i="56"/>
  <c r="BM161" i="56"/>
  <c r="BE161" i="56"/>
  <c r="AW161" i="56"/>
  <c r="AO161" i="56"/>
  <c r="AG161" i="56"/>
  <c r="Y161" i="56"/>
  <c r="Q161" i="56"/>
  <c r="I161" i="56"/>
  <c r="BS160" i="56"/>
  <c r="BK160" i="56"/>
  <c r="BC160" i="56"/>
  <c r="AU160" i="56"/>
  <c r="AM160" i="56"/>
  <c r="AE160" i="56"/>
  <c r="W160" i="56"/>
  <c r="O160" i="56"/>
  <c r="G160" i="56"/>
  <c r="BQ159" i="56"/>
  <c r="BI159" i="56"/>
  <c r="BA159" i="56"/>
  <c r="AS159" i="56"/>
  <c r="AK159" i="56"/>
  <c r="AC159" i="56"/>
  <c r="U159" i="56"/>
  <c r="M159" i="56"/>
  <c r="E159" i="56"/>
  <c r="BO158" i="56"/>
  <c r="BG158" i="56"/>
  <c r="AY158" i="56"/>
  <c r="AQ158" i="56"/>
  <c r="AI158" i="56"/>
  <c r="AA158" i="56"/>
  <c r="S158" i="56"/>
  <c r="K158" i="56"/>
  <c r="C158" i="56"/>
  <c r="BM157" i="56"/>
  <c r="BE157" i="56"/>
  <c r="BP167" i="56"/>
  <c r="BH167" i="56"/>
  <c r="AZ167" i="56"/>
  <c r="AR167" i="56"/>
  <c r="AJ167" i="56"/>
  <c r="AB167" i="56"/>
  <c r="T167" i="56"/>
  <c r="L167" i="56"/>
  <c r="D167" i="56"/>
  <c r="BN166" i="56"/>
  <c r="BF166" i="56"/>
  <c r="AX166" i="56"/>
  <c r="AP166" i="56"/>
  <c r="AH166" i="56"/>
  <c r="Z166" i="56"/>
  <c r="R166" i="56"/>
  <c r="J166" i="56"/>
  <c r="B166" i="56"/>
  <c r="BL165" i="56"/>
  <c r="BD165" i="56"/>
  <c r="AV165" i="56"/>
  <c r="AN165" i="56"/>
  <c r="AF165" i="56"/>
  <c r="X165" i="56"/>
  <c r="P165" i="56"/>
  <c r="H165" i="56"/>
  <c r="BR164" i="56"/>
  <c r="BJ164" i="56"/>
  <c r="BB164" i="56"/>
  <c r="AT164" i="56"/>
  <c r="AL164" i="56"/>
  <c r="AD164" i="56"/>
  <c r="V164" i="56"/>
  <c r="N164" i="56"/>
  <c r="F164" i="56"/>
  <c r="BP163" i="56"/>
  <c r="BH163" i="56"/>
  <c r="AZ163" i="56"/>
  <c r="AR163" i="56"/>
  <c r="AJ163" i="56"/>
  <c r="AB163" i="56"/>
  <c r="T163" i="56"/>
  <c r="L163" i="56"/>
  <c r="D163" i="56"/>
  <c r="BN162" i="56"/>
  <c r="BF162" i="56"/>
  <c r="AX162" i="56"/>
  <c r="AP162" i="56"/>
  <c r="AH162" i="56"/>
  <c r="Z162" i="56"/>
  <c r="R162" i="56"/>
  <c r="J162" i="56"/>
  <c r="B162" i="56"/>
  <c r="BL161" i="56"/>
  <c r="BD161" i="56"/>
  <c r="AV161" i="56"/>
  <c r="AN161" i="56"/>
  <c r="AF161" i="56"/>
  <c r="X161" i="56"/>
  <c r="P161" i="56"/>
  <c r="H161" i="56"/>
  <c r="BR160" i="56"/>
  <c r="BJ160" i="56"/>
  <c r="BB160" i="56"/>
  <c r="AT160" i="56"/>
  <c r="AL160" i="56"/>
  <c r="AD160" i="56"/>
  <c r="V160" i="56"/>
  <c r="N160" i="56"/>
  <c r="F160" i="56"/>
  <c r="BP159" i="56"/>
  <c r="BH159" i="56"/>
  <c r="AZ159" i="56"/>
  <c r="AR159" i="56"/>
  <c r="AJ159" i="56"/>
  <c r="AB159" i="56"/>
  <c r="T159" i="56"/>
  <c r="L159" i="56"/>
  <c r="D159" i="56"/>
  <c r="BN158" i="56"/>
  <c r="BF158" i="56"/>
  <c r="AX158" i="56"/>
  <c r="AP158" i="56"/>
  <c r="AH158" i="56"/>
  <c r="BO167" i="56"/>
  <c r="BG167" i="56"/>
  <c r="AY167" i="56"/>
  <c r="AQ167" i="56"/>
  <c r="AI167" i="56"/>
  <c r="AA167" i="56"/>
  <c r="S167" i="56"/>
  <c r="K167" i="56"/>
  <c r="C167" i="56"/>
  <c r="BM166" i="56"/>
  <c r="BE166" i="56"/>
  <c r="AW166" i="56"/>
  <c r="AO166" i="56"/>
  <c r="AG166" i="56"/>
  <c r="Y166" i="56"/>
  <c r="Q166" i="56"/>
  <c r="I166" i="56"/>
  <c r="BS165" i="56"/>
  <c r="BK165" i="56"/>
  <c r="BC165" i="56"/>
  <c r="AU165" i="56"/>
  <c r="AM165" i="56"/>
  <c r="AE165" i="56"/>
  <c r="W165" i="56"/>
  <c r="O165" i="56"/>
  <c r="G165" i="56"/>
  <c r="BQ164" i="56"/>
  <c r="BI164" i="56"/>
  <c r="BA164" i="56"/>
  <c r="AS164" i="56"/>
  <c r="AK164" i="56"/>
  <c r="AC164" i="56"/>
  <c r="U164" i="56"/>
  <c r="M164" i="56"/>
  <c r="E164" i="56"/>
  <c r="BO163" i="56"/>
  <c r="BG163" i="56"/>
  <c r="AY163" i="56"/>
  <c r="AQ163" i="56"/>
  <c r="AI163" i="56"/>
  <c r="AA163" i="56"/>
  <c r="S163" i="56"/>
  <c r="K163" i="56"/>
  <c r="C163" i="56"/>
  <c r="BM162" i="56"/>
  <c r="BE162" i="56"/>
  <c r="AW162" i="56"/>
  <c r="AO162" i="56"/>
  <c r="AG162" i="56"/>
  <c r="Y162" i="56"/>
  <c r="Q162" i="56"/>
  <c r="I162" i="56"/>
  <c r="BS161" i="56"/>
  <c r="BK161" i="56"/>
  <c r="BC161" i="56"/>
  <c r="AU161" i="56"/>
  <c r="AM161" i="56"/>
  <c r="AE161" i="56"/>
  <c r="W161" i="56"/>
  <c r="O161" i="56"/>
  <c r="G161" i="56"/>
  <c r="BQ160" i="56"/>
  <c r="BI160" i="56"/>
  <c r="BA160" i="56"/>
  <c r="AS160" i="56"/>
  <c r="AK160" i="56"/>
  <c r="AC160" i="56"/>
  <c r="U160" i="56"/>
  <c r="M160" i="56"/>
  <c r="E160" i="56"/>
  <c r="BO159" i="56"/>
  <c r="BG159" i="56"/>
  <c r="AY159" i="56"/>
  <c r="AQ159" i="56"/>
  <c r="AI159" i="56"/>
  <c r="AA159" i="56"/>
  <c r="S159" i="56"/>
  <c r="K159" i="56"/>
  <c r="C159" i="56"/>
  <c r="BM158" i="56"/>
  <c r="BE158" i="56"/>
  <c r="AW158" i="56"/>
  <c r="AO158" i="56"/>
  <c r="AG158" i="56"/>
  <c r="Y158" i="56"/>
  <c r="BR167" i="56"/>
  <c r="BJ167" i="56"/>
  <c r="BB167" i="56"/>
  <c r="AT167" i="56"/>
  <c r="AL167" i="56"/>
  <c r="AD167" i="56"/>
  <c r="V167" i="56"/>
  <c r="N167" i="56"/>
  <c r="F167" i="56"/>
  <c r="BP166" i="56"/>
  <c r="BH166" i="56"/>
  <c r="AZ166" i="56"/>
  <c r="AR166" i="56"/>
  <c r="AJ166" i="56"/>
  <c r="AB166" i="56"/>
  <c r="T166" i="56"/>
  <c r="L166" i="56"/>
  <c r="D166" i="56"/>
  <c r="BN165" i="56"/>
  <c r="BF165" i="56"/>
  <c r="AX165" i="56"/>
  <c r="AP165" i="56"/>
  <c r="AH165" i="56"/>
  <c r="Z165" i="56"/>
  <c r="R165" i="56"/>
  <c r="J165" i="56"/>
  <c r="B165" i="56"/>
  <c r="BL164" i="56"/>
  <c r="BD164" i="56"/>
  <c r="AV164" i="56"/>
  <c r="AN164" i="56"/>
  <c r="AF164" i="56"/>
  <c r="X164" i="56"/>
  <c r="P164" i="56"/>
  <c r="H164" i="56"/>
  <c r="BR163" i="56"/>
  <c r="BJ163" i="56"/>
  <c r="BB163" i="56"/>
  <c r="AT163" i="56"/>
  <c r="AL163" i="56"/>
  <c r="AD163" i="56"/>
  <c r="V163" i="56"/>
  <c r="N163" i="56"/>
  <c r="F163" i="56"/>
  <c r="BP162" i="56"/>
  <c r="BH162" i="56"/>
  <c r="AZ162" i="56"/>
  <c r="AR162" i="56"/>
  <c r="AJ162" i="56"/>
  <c r="AB162" i="56"/>
  <c r="T162" i="56"/>
  <c r="L162" i="56"/>
  <c r="D162" i="56"/>
  <c r="BN161" i="56"/>
  <c r="BF161" i="56"/>
  <c r="AX161" i="56"/>
  <c r="AP161" i="56"/>
  <c r="AH161" i="56"/>
  <c r="Z161" i="56"/>
  <c r="R161" i="56"/>
  <c r="J161" i="56"/>
  <c r="B161" i="56"/>
  <c r="BL160" i="56"/>
  <c r="BD160" i="56"/>
  <c r="AV160" i="56"/>
  <c r="AN160" i="56"/>
  <c r="AF160" i="56"/>
  <c r="X160" i="56"/>
  <c r="P160" i="56"/>
  <c r="H160" i="56"/>
  <c r="BR159" i="56"/>
  <c r="BJ159" i="56"/>
  <c r="BB159" i="56"/>
  <c r="AT159" i="56"/>
  <c r="AL159" i="56"/>
  <c r="AD159" i="56"/>
  <c r="V159" i="56"/>
  <c r="N159" i="56"/>
  <c r="F159" i="56"/>
  <c r="BP158" i="56"/>
  <c r="BH158" i="56"/>
  <c r="AZ158" i="56"/>
  <c r="AR158" i="56"/>
  <c r="AJ158" i="56"/>
  <c r="AB158" i="56"/>
  <c r="BM167" i="56"/>
  <c r="AW167" i="56"/>
  <c r="AG167" i="56"/>
  <c r="Q167" i="56"/>
  <c r="BS166" i="56"/>
  <c r="BC166" i="56"/>
  <c r="AM166" i="56"/>
  <c r="W166" i="56"/>
  <c r="G166" i="56"/>
  <c r="BI165" i="56"/>
  <c r="AS165" i="56"/>
  <c r="AC165" i="56"/>
  <c r="M165" i="56"/>
  <c r="BO164" i="56"/>
  <c r="AY164" i="56"/>
  <c r="AI164" i="56"/>
  <c r="S164" i="56"/>
  <c r="C164" i="56"/>
  <c r="BE163" i="56"/>
  <c r="AO163" i="56"/>
  <c r="Y163" i="56"/>
  <c r="I163" i="56"/>
  <c r="BK162" i="56"/>
  <c r="AU162" i="56"/>
  <c r="AE162" i="56"/>
  <c r="O162" i="56"/>
  <c r="BQ161" i="56"/>
  <c r="BA161" i="56"/>
  <c r="AK161" i="56"/>
  <c r="U161" i="56"/>
  <c r="E161" i="56"/>
  <c r="BG160" i="56"/>
  <c r="AQ160" i="56"/>
  <c r="AA160" i="56"/>
  <c r="K160" i="56"/>
  <c r="BM159" i="56"/>
  <c r="AW159" i="56"/>
  <c r="AG159" i="56"/>
  <c r="Q159" i="56"/>
  <c r="BS158" i="56"/>
  <c r="BC158" i="56"/>
  <c r="AM158" i="56"/>
  <c r="X158" i="56"/>
  <c r="O158" i="56"/>
  <c r="F158" i="56"/>
  <c r="BO157" i="56"/>
  <c r="BF157" i="56"/>
  <c r="AW157" i="56"/>
  <c r="AO157" i="56"/>
  <c r="AG157" i="56"/>
  <c r="Y157" i="56"/>
  <c r="Q157" i="56"/>
  <c r="I157" i="56"/>
  <c r="BS156" i="56"/>
  <c r="BK156" i="56"/>
  <c r="BC156" i="56"/>
  <c r="AU156" i="56"/>
  <c r="AM156" i="56"/>
  <c r="AE156" i="56"/>
  <c r="W156" i="56"/>
  <c r="O156" i="56"/>
  <c r="G156" i="56"/>
  <c r="BQ155" i="56"/>
  <c r="BI155" i="56"/>
  <c r="BA155" i="56"/>
  <c r="AS155" i="56"/>
  <c r="AK155" i="56"/>
  <c r="AC155" i="56"/>
  <c r="U155" i="56"/>
  <c r="M155" i="56"/>
  <c r="E155" i="56"/>
  <c r="BO154" i="56"/>
  <c r="BG154" i="56"/>
  <c r="AY154" i="56"/>
  <c r="AQ154" i="56"/>
  <c r="AI154" i="56"/>
  <c r="AA154" i="56"/>
  <c r="S154" i="56"/>
  <c r="K154" i="56"/>
  <c r="C154" i="56"/>
  <c r="BM78" i="56"/>
  <c r="BE78" i="56"/>
  <c r="AW78" i="56"/>
  <c r="AO78" i="56"/>
  <c r="AG78" i="56"/>
  <c r="Y78" i="56"/>
  <c r="BL167" i="56"/>
  <c r="AV167" i="56"/>
  <c r="AF167" i="56"/>
  <c r="P167" i="56"/>
  <c r="BR166" i="56"/>
  <c r="BB166" i="56"/>
  <c r="AL166" i="56"/>
  <c r="V166" i="56"/>
  <c r="F166" i="56"/>
  <c r="BH165" i="56"/>
  <c r="AR165" i="56"/>
  <c r="AB165" i="56"/>
  <c r="L165" i="56"/>
  <c r="BN164" i="56"/>
  <c r="AX164" i="56"/>
  <c r="AH164" i="56"/>
  <c r="R164" i="56"/>
  <c r="B164" i="56"/>
  <c r="BD163" i="56"/>
  <c r="AN163" i="56"/>
  <c r="X163" i="56"/>
  <c r="H163" i="56"/>
  <c r="BJ162" i="56"/>
  <c r="AT162" i="56"/>
  <c r="AD162" i="56"/>
  <c r="N162" i="56"/>
  <c r="BP161" i="56"/>
  <c r="AZ161" i="56"/>
  <c r="AJ161" i="56"/>
  <c r="T161" i="56"/>
  <c r="D161" i="56"/>
  <c r="BF160" i="56"/>
  <c r="AP160" i="56"/>
  <c r="Z160" i="56"/>
  <c r="J160" i="56"/>
  <c r="BL159" i="56"/>
  <c r="AV159" i="56"/>
  <c r="AF159" i="56"/>
  <c r="P159" i="56"/>
  <c r="BR158" i="56"/>
  <c r="BB158" i="56"/>
  <c r="AL158" i="56"/>
  <c r="W158" i="56"/>
  <c r="N158" i="56"/>
  <c r="E158" i="56"/>
  <c r="BN157" i="56"/>
  <c r="BD157" i="56"/>
  <c r="AV157" i="56"/>
  <c r="AN157" i="56"/>
  <c r="AF157" i="56"/>
  <c r="X157" i="56"/>
  <c r="P157" i="56"/>
  <c r="H157" i="56"/>
  <c r="BR156" i="56"/>
  <c r="BJ156" i="56"/>
  <c r="BB156" i="56"/>
  <c r="AT156" i="56"/>
  <c r="AL156" i="56"/>
  <c r="AD156" i="56"/>
  <c r="V156" i="56"/>
  <c r="N156" i="56"/>
  <c r="F156" i="56"/>
  <c r="BP155" i="56"/>
  <c r="BH155" i="56"/>
  <c r="AZ155" i="56"/>
  <c r="AR155" i="56"/>
  <c r="AJ155" i="56"/>
  <c r="AB155" i="56"/>
  <c r="T155" i="56"/>
  <c r="L155" i="56"/>
  <c r="D155" i="56"/>
  <c r="BN154" i="56"/>
  <c r="BF154" i="56"/>
  <c r="AX154" i="56"/>
  <c r="AP154" i="56"/>
  <c r="AH154" i="56"/>
  <c r="Z154" i="56"/>
  <c r="R154" i="56"/>
  <c r="J154" i="56"/>
  <c r="B154" i="56"/>
  <c r="BL78" i="56"/>
  <c r="BK167" i="56"/>
  <c r="AU167" i="56"/>
  <c r="AE167" i="56"/>
  <c r="O167" i="56"/>
  <c r="BQ166" i="56"/>
  <c r="BA166" i="56"/>
  <c r="AK166" i="56"/>
  <c r="U166" i="56"/>
  <c r="E166" i="56"/>
  <c r="BG165" i="56"/>
  <c r="AQ165" i="56"/>
  <c r="AA165" i="56"/>
  <c r="K165" i="56"/>
  <c r="BM164" i="56"/>
  <c r="AW164" i="56"/>
  <c r="AG164" i="56"/>
  <c r="Q164" i="56"/>
  <c r="BS163" i="56"/>
  <c r="BC163" i="56"/>
  <c r="AM163" i="56"/>
  <c r="W163" i="56"/>
  <c r="G163" i="56"/>
  <c r="BI162" i="56"/>
  <c r="AS162" i="56"/>
  <c r="AC162" i="56"/>
  <c r="M162" i="56"/>
  <c r="BO161" i="56"/>
  <c r="AY161" i="56"/>
  <c r="AI161" i="56"/>
  <c r="S161" i="56"/>
  <c r="C161" i="56"/>
  <c r="BE160" i="56"/>
  <c r="AO160" i="56"/>
  <c r="Y160" i="56"/>
  <c r="I160" i="56"/>
  <c r="F14" i="55" s="1"/>
  <c r="BK159" i="56"/>
  <c r="AU159" i="56"/>
  <c r="AE159" i="56"/>
  <c r="O159" i="56"/>
  <c r="BQ158" i="56"/>
  <c r="BA158" i="56"/>
  <c r="AK158" i="56"/>
  <c r="V158" i="56"/>
  <c r="M158" i="56"/>
  <c r="D158" i="56"/>
  <c r="BL157" i="56"/>
  <c r="BC157" i="56"/>
  <c r="AU157" i="56"/>
  <c r="AM157" i="56"/>
  <c r="AE157" i="56"/>
  <c r="W157" i="56"/>
  <c r="O157" i="56"/>
  <c r="G157" i="56"/>
  <c r="BQ156" i="56"/>
  <c r="BI156" i="56"/>
  <c r="BA156" i="56"/>
  <c r="AS156" i="56"/>
  <c r="AK156" i="56"/>
  <c r="AC156" i="56"/>
  <c r="P10" i="55" s="1"/>
  <c r="U156" i="56"/>
  <c r="M156" i="56"/>
  <c r="E156" i="56"/>
  <c r="BO155" i="56"/>
  <c r="BG155" i="56"/>
  <c r="AY155" i="56"/>
  <c r="AQ155" i="56"/>
  <c r="AI155" i="56"/>
  <c r="AA155" i="56"/>
  <c r="S155" i="56"/>
  <c r="K155" i="56"/>
  <c r="C155" i="56"/>
  <c r="BM154" i="56"/>
  <c r="BE154" i="56"/>
  <c r="AW154" i="56"/>
  <c r="AO154" i="56"/>
  <c r="AG154" i="56"/>
  <c r="Y154" i="56"/>
  <c r="Q154" i="56"/>
  <c r="I154" i="56"/>
  <c r="BS78" i="56"/>
  <c r="BK78" i="56"/>
  <c r="BC78" i="56"/>
  <c r="AU78" i="56"/>
  <c r="AM78" i="56"/>
  <c r="BN167" i="56"/>
  <c r="AX167" i="56"/>
  <c r="AH167" i="56"/>
  <c r="R167" i="56"/>
  <c r="B167" i="56"/>
  <c r="BD166" i="56"/>
  <c r="AN166" i="56"/>
  <c r="X166" i="56"/>
  <c r="H166" i="56"/>
  <c r="BJ165" i="56"/>
  <c r="AT165" i="56"/>
  <c r="AD165" i="56"/>
  <c r="N165" i="56"/>
  <c r="BP164" i="56"/>
  <c r="AZ164" i="56"/>
  <c r="AJ164" i="56"/>
  <c r="T164" i="56"/>
  <c r="D164" i="56"/>
  <c r="BF163" i="56"/>
  <c r="AP163" i="56"/>
  <c r="Z163" i="56"/>
  <c r="J163" i="56"/>
  <c r="BL162" i="56"/>
  <c r="AV162" i="56"/>
  <c r="AF162" i="56"/>
  <c r="P162" i="56"/>
  <c r="BR161" i="56"/>
  <c r="BB161" i="56"/>
  <c r="AL161" i="56"/>
  <c r="V161" i="56"/>
  <c r="F161" i="56"/>
  <c r="BH160" i="56"/>
  <c r="AR160" i="56"/>
  <c r="AB160" i="56"/>
  <c r="L160" i="56"/>
  <c r="BN159" i="56"/>
  <c r="AX159" i="56"/>
  <c r="AH159" i="56"/>
  <c r="R159" i="56"/>
  <c r="B159" i="56"/>
  <c r="BD158" i="56"/>
  <c r="AN158" i="56"/>
  <c r="Z158" i="56"/>
  <c r="P158" i="56"/>
  <c r="G158" i="56"/>
  <c r="BP157" i="56"/>
  <c r="BG157" i="56"/>
  <c r="AX157" i="56"/>
  <c r="AP157" i="56"/>
  <c r="AH157" i="56"/>
  <c r="Z157" i="56"/>
  <c r="R157" i="56"/>
  <c r="J157" i="56"/>
  <c r="B157" i="56"/>
  <c r="BL156" i="56"/>
  <c r="BD156" i="56"/>
  <c r="AV156" i="56"/>
  <c r="AN156" i="56"/>
  <c r="AF156" i="56"/>
  <c r="X156" i="56"/>
  <c r="P156" i="56"/>
  <c r="H156" i="56"/>
  <c r="BR155" i="56"/>
  <c r="BJ155" i="56"/>
  <c r="BB155" i="56"/>
  <c r="AT155" i="56"/>
  <c r="AL155" i="56"/>
  <c r="AD155" i="56"/>
  <c r="V155" i="56"/>
  <c r="N155" i="56"/>
  <c r="F155" i="56"/>
  <c r="BP154" i="56"/>
  <c r="BH154" i="56"/>
  <c r="AZ154" i="56"/>
  <c r="AR154" i="56"/>
  <c r="AJ154" i="56"/>
  <c r="AB154" i="56"/>
  <c r="T154" i="56"/>
  <c r="L154" i="56"/>
  <c r="D154" i="56"/>
  <c r="BN78" i="56"/>
  <c r="BF78" i="56"/>
  <c r="AX78" i="56"/>
  <c r="AP78" i="56"/>
  <c r="AH78" i="56"/>
  <c r="BE167" i="56"/>
  <c r="Y167" i="56"/>
  <c r="BK166" i="56"/>
  <c r="AE166" i="56"/>
  <c r="BQ165" i="56"/>
  <c r="AK165" i="56"/>
  <c r="E165" i="56"/>
  <c r="AQ164" i="56"/>
  <c r="K164" i="56"/>
  <c r="G18" i="55" s="1"/>
  <c r="AW163" i="56"/>
  <c r="Q163" i="56"/>
  <c r="BC162" i="56"/>
  <c r="W162" i="56"/>
  <c r="BI161" i="56"/>
  <c r="AC161" i="56"/>
  <c r="BO160" i="56"/>
  <c r="AI160" i="56"/>
  <c r="C160" i="56"/>
  <c r="AO159" i="56"/>
  <c r="I159" i="56"/>
  <c r="AU158" i="56"/>
  <c r="T158" i="56"/>
  <c r="BS157" i="56"/>
  <c r="BA157" i="56"/>
  <c r="AK157" i="56"/>
  <c r="U157" i="56"/>
  <c r="E157" i="56"/>
  <c r="BG156" i="56"/>
  <c r="AQ156" i="56"/>
  <c r="AA156" i="56"/>
  <c r="K156" i="56"/>
  <c r="BM155" i="56"/>
  <c r="AW155" i="56"/>
  <c r="AG155" i="56"/>
  <c r="Q155" i="56"/>
  <c r="BS154" i="56"/>
  <c r="BC154" i="56"/>
  <c r="AM154" i="56"/>
  <c r="W154" i="56"/>
  <c r="G154" i="56"/>
  <c r="BI78" i="56"/>
  <c r="AV78" i="56"/>
  <c r="AJ78" i="56"/>
  <c r="Z78" i="56"/>
  <c r="Q78" i="56"/>
  <c r="I78" i="56"/>
  <c r="BS77" i="56"/>
  <c r="BK77" i="56"/>
  <c r="BC77" i="56"/>
  <c r="AU77" i="56"/>
  <c r="AM77" i="56"/>
  <c r="AE77" i="56"/>
  <c r="W77" i="56"/>
  <c r="O77" i="56"/>
  <c r="G77" i="56"/>
  <c r="BQ76" i="56"/>
  <c r="BI76" i="56"/>
  <c r="BA76" i="56"/>
  <c r="AS76" i="56"/>
  <c r="AK76" i="56"/>
  <c r="AC76" i="56"/>
  <c r="U76" i="56"/>
  <c r="M76" i="56"/>
  <c r="E76" i="56"/>
  <c r="BO75" i="56"/>
  <c r="BG75" i="56"/>
  <c r="AY75" i="56"/>
  <c r="AQ75" i="56"/>
  <c r="AI75" i="56"/>
  <c r="AA75" i="56"/>
  <c r="S75" i="56"/>
  <c r="K75" i="56"/>
  <c r="C75" i="56"/>
  <c r="BM74" i="56"/>
  <c r="BD167" i="56"/>
  <c r="X167" i="56"/>
  <c r="BJ166" i="56"/>
  <c r="AD166" i="56"/>
  <c r="BP165" i="56"/>
  <c r="AJ165" i="56"/>
  <c r="D165" i="56"/>
  <c r="AP164" i="56"/>
  <c r="J164" i="56"/>
  <c r="AV163" i="56"/>
  <c r="P163" i="56"/>
  <c r="BB162" i="56"/>
  <c r="V162" i="56"/>
  <c r="BH161" i="56"/>
  <c r="AB161" i="56"/>
  <c r="BN160" i="56"/>
  <c r="AH160" i="56"/>
  <c r="B160" i="56"/>
  <c r="AN159" i="56"/>
  <c r="H159" i="56"/>
  <c r="AT158" i="56"/>
  <c r="R158" i="56"/>
  <c r="BR157" i="56"/>
  <c r="AZ157" i="56"/>
  <c r="AJ157" i="56"/>
  <c r="T157" i="56"/>
  <c r="D157" i="56"/>
  <c r="BF156" i="56"/>
  <c r="AP156" i="56"/>
  <c r="Z156" i="56"/>
  <c r="J156" i="56"/>
  <c r="BL155" i="56"/>
  <c r="AV155" i="56"/>
  <c r="AF155" i="56"/>
  <c r="P155" i="56"/>
  <c r="BR154" i="56"/>
  <c r="BB154" i="56"/>
  <c r="AL154" i="56"/>
  <c r="V154" i="56"/>
  <c r="F154" i="56"/>
  <c r="BH78" i="56"/>
  <c r="AT78" i="56"/>
  <c r="AI78" i="56"/>
  <c r="X78" i="56"/>
  <c r="P78" i="56"/>
  <c r="H78" i="56"/>
  <c r="BR77" i="56"/>
  <c r="BJ77" i="56"/>
  <c r="BB77" i="56"/>
  <c r="AT77" i="56"/>
  <c r="AL77" i="56"/>
  <c r="AD77" i="56"/>
  <c r="V77" i="56"/>
  <c r="N77" i="56"/>
  <c r="F77" i="56"/>
  <c r="BP76" i="56"/>
  <c r="BH76" i="56"/>
  <c r="AZ76" i="56"/>
  <c r="AR76" i="56"/>
  <c r="AJ76" i="56"/>
  <c r="AB76" i="56"/>
  <c r="T76" i="56"/>
  <c r="L76" i="56"/>
  <c r="D76" i="56"/>
  <c r="BN75" i="56"/>
  <c r="BF75" i="56"/>
  <c r="AX75" i="56"/>
  <c r="AP75" i="56"/>
  <c r="AH75" i="56"/>
  <c r="Z75" i="56"/>
  <c r="R75" i="56"/>
  <c r="J75" i="56"/>
  <c r="B75" i="56"/>
  <c r="BL74" i="56"/>
  <c r="BD74" i="56"/>
  <c r="AV74" i="56"/>
  <c r="AN74" i="56"/>
  <c r="AF74" i="56"/>
  <c r="X74" i="56"/>
  <c r="P74" i="56"/>
  <c r="H74" i="56"/>
  <c r="BR73" i="56"/>
  <c r="BJ73" i="56"/>
  <c r="BB73" i="56"/>
  <c r="AT73" i="56"/>
  <c r="BC167" i="56"/>
  <c r="W167" i="56"/>
  <c r="BI166" i="56"/>
  <c r="AC166" i="56"/>
  <c r="BO165" i="56"/>
  <c r="AI165" i="56"/>
  <c r="C165" i="56"/>
  <c r="AO164" i="56"/>
  <c r="I164" i="56"/>
  <c r="AU163" i="56"/>
  <c r="O163" i="56"/>
  <c r="BA162" i="56"/>
  <c r="U162" i="56"/>
  <c r="BG161" i="56"/>
  <c r="AA161" i="56"/>
  <c r="BM160" i="56"/>
  <c r="AG160" i="56"/>
  <c r="BS159" i="56"/>
  <c r="AM159" i="56"/>
  <c r="G159" i="56"/>
  <c r="AS158" i="56"/>
  <c r="Q158" i="56"/>
  <c r="BQ157" i="56"/>
  <c r="AY157" i="56"/>
  <c r="AI157" i="56"/>
  <c r="S157" i="56"/>
  <c r="C157" i="56"/>
  <c r="BE156" i="56"/>
  <c r="AO156" i="56"/>
  <c r="Y156" i="56"/>
  <c r="I156" i="56"/>
  <c r="BK155" i="56"/>
  <c r="AU155" i="56"/>
  <c r="AE155" i="56"/>
  <c r="O155" i="56"/>
  <c r="BQ154" i="56"/>
  <c r="BA154" i="56"/>
  <c r="AK154" i="56"/>
  <c r="U154" i="56"/>
  <c r="E154" i="56"/>
  <c r="BG78" i="56"/>
  <c r="AS78" i="56"/>
  <c r="AF78" i="56"/>
  <c r="W78" i="56"/>
  <c r="O78" i="56"/>
  <c r="G78" i="56"/>
  <c r="BQ77" i="56"/>
  <c r="BI77" i="56"/>
  <c r="BA77" i="56"/>
  <c r="AS77" i="56"/>
  <c r="AK77" i="56"/>
  <c r="AC77" i="56"/>
  <c r="U77" i="56"/>
  <c r="M77" i="56"/>
  <c r="E77" i="56"/>
  <c r="BO76" i="56"/>
  <c r="BG76" i="56"/>
  <c r="AY76" i="56"/>
  <c r="AQ76" i="56"/>
  <c r="AI76" i="56"/>
  <c r="AA76" i="56"/>
  <c r="S76" i="56"/>
  <c r="K76" i="56"/>
  <c r="C76" i="56"/>
  <c r="BM75" i="56"/>
  <c r="BE75" i="56"/>
  <c r="AW75" i="56"/>
  <c r="AO75" i="56"/>
  <c r="AG75" i="56"/>
  <c r="Y75" i="56"/>
  <c r="Q75" i="56"/>
  <c r="I75" i="56"/>
  <c r="BS74" i="56"/>
  <c r="BK74" i="56"/>
  <c r="BC74" i="56"/>
  <c r="AU74" i="56"/>
  <c r="AM74" i="56"/>
  <c r="AE74" i="56"/>
  <c r="W74" i="56"/>
  <c r="O74" i="56"/>
  <c r="G74" i="56"/>
  <c r="BQ73" i="56"/>
  <c r="BI73" i="56"/>
  <c r="BA73" i="56"/>
  <c r="AS73" i="56"/>
  <c r="AK73" i="56"/>
  <c r="AN167" i="56"/>
  <c r="H167" i="56"/>
  <c r="AT166" i="56"/>
  <c r="N166" i="56"/>
  <c r="AZ165" i="56"/>
  <c r="T165" i="56"/>
  <c r="BF164" i="56"/>
  <c r="Z164" i="56"/>
  <c r="BL163" i="56"/>
  <c r="AF163" i="56"/>
  <c r="BR162" i="56"/>
  <c r="AL162" i="56"/>
  <c r="F162" i="56"/>
  <c r="AR161" i="56"/>
  <c r="L161" i="56"/>
  <c r="AX160" i="56"/>
  <c r="R160" i="56"/>
  <c r="BD159" i="56"/>
  <c r="X159" i="56"/>
  <c r="BJ158" i="56"/>
  <c r="AD158" i="56"/>
  <c r="I158" i="56"/>
  <c r="BI157" i="56"/>
  <c r="AR157" i="56"/>
  <c r="AB157" i="56"/>
  <c r="L157" i="56"/>
  <c r="BN156" i="56"/>
  <c r="AX156" i="56"/>
  <c r="AH156" i="56"/>
  <c r="R156" i="56"/>
  <c r="B156" i="56"/>
  <c r="BD155" i="56"/>
  <c r="AN155" i="56"/>
  <c r="X155" i="56"/>
  <c r="H155" i="56"/>
  <c r="BJ154" i="56"/>
  <c r="AT154" i="56"/>
  <c r="AD154" i="56"/>
  <c r="N154" i="56"/>
  <c r="BP78" i="56"/>
  <c r="BA78" i="56"/>
  <c r="AN78" i="56"/>
  <c r="AC78" i="56"/>
  <c r="T78" i="56"/>
  <c r="L78" i="56"/>
  <c r="D78" i="56"/>
  <c r="BN77" i="56"/>
  <c r="BF77" i="56"/>
  <c r="AX77" i="56"/>
  <c r="AP77" i="56"/>
  <c r="AH77" i="56"/>
  <c r="Z77" i="56"/>
  <c r="R77" i="56"/>
  <c r="J77" i="56"/>
  <c r="B77" i="56"/>
  <c r="BL76" i="56"/>
  <c r="BD76" i="56"/>
  <c r="AV76" i="56"/>
  <c r="AN76" i="56"/>
  <c r="AF76" i="56"/>
  <c r="X76" i="56"/>
  <c r="P76" i="56"/>
  <c r="H76" i="56"/>
  <c r="BR75" i="56"/>
  <c r="BJ75" i="56"/>
  <c r="BB75" i="56"/>
  <c r="AT75" i="56"/>
  <c r="AL75" i="56"/>
  <c r="AD75" i="56"/>
  <c r="V75" i="56"/>
  <c r="N75" i="56"/>
  <c r="F75" i="56"/>
  <c r="BP74" i="56"/>
  <c r="BH74" i="56"/>
  <c r="AZ74" i="56"/>
  <c r="AR74" i="56"/>
  <c r="AJ74" i="56"/>
  <c r="AB74" i="56"/>
  <c r="T74" i="56"/>
  <c r="L74" i="56"/>
  <c r="D74" i="56"/>
  <c r="AP167" i="56"/>
  <c r="AV166" i="56"/>
  <c r="BB165" i="56"/>
  <c r="BH164" i="56"/>
  <c r="BN163" i="56"/>
  <c r="B163" i="56"/>
  <c r="H162" i="56"/>
  <c r="N161" i="56"/>
  <c r="T160" i="56"/>
  <c r="Z159" i="56"/>
  <c r="AF158" i="56"/>
  <c r="BK157" i="56"/>
  <c r="AD157" i="56"/>
  <c r="BP156" i="56"/>
  <c r="AJ156" i="56"/>
  <c r="D156" i="56"/>
  <c r="AP155" i="56"/>
  <c r="J155" i="56"/>
  <c r="AV154" i="56"/>
  <c r="P154" i="56"/>
  <c r="BD78" i="56"/>
  <c r="AE78" i="56"/>
  <c r="N78" i="56"/>
  <c r="BP77" i="56"/>
  <c r="AZ77" i="56"/>
  <c r="AJ77" i="56"/>
  <c r="T77" i="56"/>
  <c r="D77" i="56"/>
  <c r="BF76" i="56"/>
  <c r="AP76" i="56"/>
  <c r="Z76" i="56"/>
  <c r="J76" i="56"/>
  <c r="BL75" i="56"/>
  <c r="AV75" i="56"/>
  <c r="AF75" i="56"/>
  <c r="P75" i="56"/>
  <c r="BR74" i="56"/>
  <c r="BE74" i="56"/>
  <c r="AQ74" i="56"/>
  <c r="AD74" i="56"/>
  <c r="R74" i="56"/>
  <c r="E74" i="56"/>
  <c r="BL73" i="56"/>
  <c r="AZ73" i="56"/>
  <c r="AP73" i="56"/>
  <c r="AG73" i="56"/>
  <c r="Y73" i="56"/>
  <c r="Q73" i="56"/>
  <c r="I73" i="56"/>
  <c r="BS72" i="56"/>
  <c r="BK72" i="56"/>
  <c r="BC72" i="56"/>
  <c r="AU72" i="56"/>
  <c r="AM72" i="56"/>
  <c r="AE72" i="56"/>
  <c r="W72" i="56"/>
  <c r="O72" i="56"/>
  <c r="G72" i="56"/>
  <c r="BQ71" i="56"/>
  <c r="BI71" i="56"/>
  <c r="BA71" i="56"/>
  <c r="AS71" i="56"/>
  <c r="AK71" i="56"/>
  <c r="AC71" i="56"/>
  <c r="U71" i="56"/>
  <c r="M71" i="56"/>
  <c r="E71" i="56"/>
  <c r="BO70" i="56"/>
  <c r="BG70" i="56"/>
  <c r="AY70" i="56"/>
  <c r="AO167" i="56"/>
  <c r="AU166" i="56"/>
  <c r="BA165" i="56"/>
  <c r="BG164" i="56"/>
  <c r="BM163" i="56"/>
  <c r="BS162" i="56"/>
  <c r="G162" i="56"/>
  <c r="M161" i="56"/>
  <c r="S160" i="56"/>
  <c r="Y159" i="56"/>
  <c r="AE158" i="56"/>
  <c r="BJ157" i="56"/>
  <c r="AC157" i="56"/>
  <c r="BO156" i="56"/>
  <c r="AI156" i="56"/>
  <c r="C156" i="56"/>
  <c r="AO155" i="56"/>
  <c r="I155" i="56"/>
  <c r="AU154" i="56"/>
  <c r="O154" i="56"/>
  <c r="BB78" i="56"/>
  <c r="AD78" i="56"/>
  <c r="M78" i="56"/>
  <c r="BO77" i="56"/>
  <c r="AY77" i="56"/>
  <c r="AI77" i="56"/>
  <c r="S77" i="56"/>
  <c r="C77" i="56"/>
  <c r="BE76" i="56"/>
  <c r="AO76" i="56"/>
  <c r="Y76" i="56"/>
  <c r="I76" i="56"/>
  <c r="BK75" i="56"/>
  <c r="AU75" i="56"/>
  <c r="AE75" i="56"/>
  <c r="O75" i="56"/>
  <c r="BQ74" i="56"/>
  <c r="BB74" i="56"/>
  <c r="AP74" i="56"/>
  <c r="AC74" i="56"/>
  <c r="Q74" i="56"/>
  <c r="C74" i="56"/>
  <c r="BK73" i="56"/>
  <c r="AY73" i="56"/>
  <c r="AO73" i="56"/>
  <c r="AF73" i="56"/>
  <c r="X73" i="56"/>
  <c r="P73" i="56"/>
  <c r="H73" i="56"/>
  <c r="BR72" i="56"/>
  <c r="BJ72" i="56"/>
  <c r="BB72" i="56"/>
  <c r="AT72" i="56"/>
  <c r="AL72" i="56"/>
  <c r="AD72" i="56"/>
  <c r="V72" i="56"/>
  <c r="N72" i="56"/>
  <c r="F72" i="56"/>
  <c r="BP71" i="56"/>
  <c r="BH71" i="56"/>
  <c r="AZ71" i="56"/>
  <c r="AR71" i="56"/>
  <c r="AJ71" i="56"/>
  <c r="AB71" i="56"/>
  <c r="T71" i="56"/>
  <c r="L71" i="56"/>
  <c r="D71" i="56"/>
  <c r="BN70" i="56"/>
  <c r="BF70" i="56"/>
  <c r="AX70" i="56"/>
  <c r="AP70" i="56"/>
  <c r="AH70" i="56"/>
  <c r="Z70" i="56"/>
  <c r="R70" i="56"/>
  <c r="J70" i="56"/>
  <c r="B70" i="56"/>
  <c r="BL69" i="56"/>
  <c r="BD69" i="56"/>
  <c r="AV69" i="56"/>
  <c r="AN69" i="56"/>
  <c r="AF69" i="56"/>
  <c r="X69" i="56"/>
  <c r="P69" i="56"/>
  <c r="H69" i="56"/>
  <c r="BR68" i="56"/>
  <c r="BJ68" i="56"/>
  <c r="AM167" i="56"/>
  <c r="AS166" i="56"/>
  <c r="AY165" i="56"/>
  <c r="BE164" i="56"/>
  <c r="BK163" i="56"/>
  <c r="BQ162" i="56"/>
  <c r="E162" i="56"/>
  <c r="K161" i="56"/>
  <c r="Q160" i="56"/>
  <c r="W159" i="56"/>
  <c r="AC158" i="56"/>
  <c r="BH157" i="56"/>
  <c r="AA157" i="56"/>
  <c r="O11" i="55" s="1"/>
  <c r="BM156" i="56"/>
  <c r="AG156" i="56"/>
  <c r="BS155" i="56"/>
  <c r="AM155" i="56"/>
  <c r="G155" i="56"/>
  <c r="AS154" i="56"/>
  <c r="M154" i="56"/>
  <c r="AZ78" i="56"/>
  <c r="AB78" i="56"/>
  <c r="K78" i="56"/>
  <c r="BM77" i="56"/>
  <c r="AW77" i="56"/>
  <c r="AG77" i="56"/>
  <c r="Q77" i="56"/>
  <c r="BS76" i="56"/>
  <c r="BC76" i="56"/>
  <c r="AM76" i="56"/>
  <c r="W76" i="56"/>
  <c r="G76" i="56"/>
  <c r="BI75" i="56"/>
  <c r="AS75" i="56"/>
  <c r="AC75" i="56"/>
  <c r="M75" i="56"/>
  <c r="BO74" i="56"/>
  <c r="BA74" i="56"/>
  <c r="AO74" i="56"/>
  <c r="AA74" i="56"/>
  <c r="N74" i="56"/>
  <c r="B74" i="56"/>
  <c r="BH73" i="56"/>
  <c r="AX73" i="56"/>
  <c r="AN73" i="56"/>
  <c r="AE73" i="56"/>
  <c r="W73" i="56"/>
  <c r="O73" i="56"/>
  <c r="G73" i="56"/>
  <c r="BQ72" i="56"/>
  <c r="BI72" i="56"/>
  <c r="BA72" i="56"/>
  <c r="AS72" i="56"/>
  <c r="AK72" i="56"/>
  <c r="AC72" i="56"/>
  <c r="U72" i="56"/>
  <c r="M72" i="56"/>
  <c r="E72" i="56"/>
  <c r="BO71" i="56"/>
  <c r="BG71" i="56"/>
  <c r="AY71" i="56"/>
  <c r="AQ71" i="56"/>
  <c r="AI71" i="56"/>
  <c r="AA71" i="56"/>
  <c r="S71" i="56"/>
  <c r="K71" i="56"/>
  <c r="C71" i="56"/>
  <c r="BM70" i="56"/>
  <c r="BE70" i="56"/>
  <c r="AW70" i="56"/>
  <c r="AO70" i="56"/>
  <c r="AG70" i="56"/>
  <c r="Y70" i="56"/>
  <c r="Q70" i="56"/>
  <c r="I70" i="56"/>
  <c r="BS69" i="56"/>
  <c r="BK69" i="56"/>
  <c r="BC69" i="56"/>
  <c r="AU69" i="56"/>
  <c r="AM69" i="56"/>
  <c r="AE69" i="56"/>
  <c r="W69" i="56"/>
  <c r="O69" i="56"/>
  <c r="G69" i="56"/>
  <c r="BQ68" i="56"/>
  <c r="BI68" i="56"/>
  <c r="BA68" i="56"/>
  <c r="I167" i="56"/>
  <c r="O166" i="56"/>
  <c r="U165" i="56"/>
  <c r="AA164" i="56"/>
  <c r="AG163" i="56"/>
  <c r="AM162" i="56"/>
  <c r="AS161" i="56"/>
  <c r="AY160" i="56"/>
  <c r="BE159" i="56"/>
  <c r="BK158" i="56"/>
  <c r="J158" i="56"/>
  <c r="AS157" i="56"/>
  <c r="M157" i="56"/>
  <c r="AY156" i="56"/>
  <c r="S156" i="56"/>
  <c r="BE155" i="56"/>
  <c r="Y155" i="56"/>
  <c r="BK154" i="56"/>
  <c r="AE154" i="56"/>
  <c r="BQ78" i="56"/>
  <c r="AQ78" i="56"/>
  <c r="U78" i="56"/>
  <c r="E78" i="56"/>
  <c r="BG77" i="56"/>
  <c r="AQ77" i="56"/>
  <c r="AA77" i="56"/>
  <c r="K77" i="56"/>
  <c r="BM76" i="56"/>
  <c r="AW76" i="56"/>
  <c r="AG76" i="56"/>
  <c r="Q76" i="56"/>
  <c r="BS75" i="56"/>
  <c r="BC75" i="56"/>
  <c r="AM75" i="56"/>
  <c r="W75" i="56"/>
  <c r="G75" i="56"/>
  <c r="BI74" i="56"/>
  <c r="AW74" i="56"/>
  <c r="AI74" i="56"/>
  <c r="V74" i="56"/>
  <c r="J74" i="56"/>
  <c r="BO73" i="56"/>
  <c r="BE73" i="56"/>
  <c r="AU73" i="56"/>
  <c r="AJ73" i="56"/>
  <c r="AB73" i="56"/>
  <c r="T73" i="56"/>
  <c r="L73" i="56"/>
  <c r="D73" i="56"/>
  <c r="BN72" i="56"/>
  <c r="BF72" i="56"/>
  <c r="AX72" i="56"/>
  <c r="AP72" i="56"/>
  <c r="AH72" i="56"/>
  <c r="Z72" i="56"/>
  <c r="R72" i="56"/>
  <c r="J72" i="56"/>
  <c r="B72" i="56"/>
  <c r="BL71" i="56"/>
  <c r="BD71" i="56"/>
  <c r="AV71" i="56"/>
  <c r="AN71" i="56"/>
  <c r="AF71" i="56"/>
  <c r="X71" i="56"/>
  <c r="P71" i="56"/>
  <c r="H71" i="56"/>
  <c r="BR70" i="56"/>
  <c r="BJ70" i="56"/>
  <c r="BB70" i="56"/>
  <c r="AT70" i="56"/>
  <c r="AL70" i="56"/>
  <c r="AD70" i="56"/>
  <c r="V70" i="56"/>
  <c r="N70" i="56"/>
  <c r="F70" i="56"/>
  <c r="BP69" i="56"/>
  <c r="BH69" i="56"/>
  <c r="AZ69" i="56"/>
  <c r="AR69" i="56"/>
  <c r="AJ69" i="56"/>
  <c r="AB69" i="56"/>
  <c r="T69" i="56"/>
  <c r="L69" i="56"/>
  <c r="D69" i="56"/>
  <c r="BN68" i="56"/>
  <c r="Z167" i="56"/>
  <c r="AL165" i="56"/>
  <c r="AX163" i="56"/>
  <c r="BJ161" i="56"/>
  <c r="D160" i="56"/>
  <c r="U158" i="56"/>
  <c r="V157" i="56"/>
  <c r="AB156" i="56"/>
  <c r="AH155" i="56"/>
  <c r="AN154" i="56"/>
  <c r="AY78" i="56"/>
  <c r="J78" i="56"/>
  <c r="AV77" i="56"/>
  <c r="P77" i="56"/>
  <c r="BB76" i="56"/>
  <c r="V76" i="56"/>
  <c r="BH75" i="56"/>
  <c r="AB75" i="56"/>
  <c r="BN74" i="56"/>
  <c r="AL74" i="56"/>
  <c r="M74" i="56"/>
  <c r="BG73" i="56"/>
  <c r="AM73" i="56"/>
  <c r="V73" i="56"/>
  <c r="F73" i="56"/>
  <c r="BH72" i="56"/>
  <c r="AR72" i="56"/>
  <c r="AB72" i="56"/>
  <c r="L72" i="56"/>
  <c r="BN71" i="56"/>
  <c r="AX71" i="56"/>
  <c r="AH71" i="56"/>
  <c r="R71" i="56"/>
  <c r="B71" i="56"/>
  <c r="BD70" i="56"/>
  <c r="AQ70" i="56"/>
  <c r="AC70" i="56"/>
  <c r="P70" i="56"/>
  <c r="D70" i="56"/>
  <c r="BI69" i="56"/>
  <c r="AW69" i="56"/>
  <c r="AI69" i="56"/>
  <c r="V69" i="56"/>
  <c r="J69" i="56"/>
  <c r="BO68" i="56"/>
  <c r="BD68" i="56"/>
  <c r="AU68" i="56"/>
  <c r="AM68" i="56"/>
  <c r="AE68" i="56"/>
  <c r="W68" i="56"/>
  <c r="O68" i="56"/>
  <c r="G68" i="56"/>
  <c r="BQ67" i="56"/>
  <c r="BI67" i="56"/>
  <c r="BA67" i="56"/>
  <c r="AS67" i="56"/>
  <c r="AK67" i="56"/>
  <c r="AC67" i="56"/>
  <c r="U67" i="56"/>
  <c r="M67" i="56"/>
  <c r="E67" i="56"/>
  <c r="BO66" i="56"/>
  <c r="BG66" i="56"/>
  <c r="AY66" i="56"/>
  <c r="AQ66" i="56"/>
  <c r="AI66" i="56"/>
  <c r="AA66" i="56"/>
  <c r="S66" i="56"/>
  <c r="K66" i="56"/>
  <c r="C66" i="56"/>
  <c r="BM65" i="56"/>
  <c r="BE65" i="56"/>
  <c r="AW65" i="56"/>
  <c r="AO65" i="56"/>
  <c r="AG65" i="56"/>
  <c r="Y65" i="56"/>
  <c r="Q65" i="56"/>
  <c r="I65" i="56"/>
  <c r="J167" i="56"/>
  <c r="V165" i="56"/>
  <c r="AH163" i="56"/>
  <c r="AT161" i="56"/>
  <c r="BF159" i="56"/>
  <c r="L158" i="56"/>
  <c r="N157" i="56"/>
  <c r="T156" i="56"/>
  <c r="Z155" i="56"/>
  <c r="AF154" i="56"/>
  <c r="AR78" i="56"/>
  <c r="F78" i="56"/>
  <c r="AR77" i="56"/>
  <c r="L77" i="56"/>
  <c r="AX76" i="56"/>
  <c r="R76" i="56"/>
  <c r="BD75" i="56"/>
  <c r="X75" i="56"/>
  <c r="BJ74" i="56"/>
  <c r="AK74" i="56"/>
  <c r="K74" i="56"/>
  <c r="BF73" i="56"/>
  <c r="AL73" i="56"/>
  <c r="U73" i="56"/>
  <c r="E73" i="56"/>
  <c r="BG72" i="56"/>
  <c r="AQ72" i="56"/>
  <c r="AA72" i="56"/>
  <c r="K72" i="56"/>
  <c r="BM71" i="56"/>
  <c r="AW71" i="56"/>
  <c r="AG71" i="56"/>
  <c r="Q71" i="56"/>
  <c r="BS70" i="56"/>
  <c r="BC70" i="56"/>
  <c r="AN70" i="56"/>
  <c r="AB70" i="56"/>
  <c r="O70" i="56"/>
  <c r="C70" i="56"/>
  <c r="BG69" i="56"/>
  <c r="AT69" i="56"/>
  <c r="AH69" i="56"/>
  <c r="U69" i="56"/>
  <c r="I69" i="56"/>
  <c r="BM68" i="56"/>
  <c r="BC68" i="56"/>
  <c r="AT68" i="56"/>
  <c r="AL68" i="56"/>
  <c r="AD68" i="56"/>
  <c r="V68" i="56"/>
  <c r="N68" i="56"/>
  <c r="F68" i="56"/>
  <c r="BP67" i="56"/>
  <c r="BH67" i="56"/>
  <c r="AZ67" i="56"/>
  <c r="AR67" i="56"/>
  <c r="AJ67" i="56"/>
  <c r="AB67" i="56"/>
  <c r="T67" i="56"/>
  <c r="L67" i="56"/>
  <c r="D67" i="56"/>
  <c r="BN66" i="56"/>
  <c r="BF66" i="56"/>
  <c r="AX66" i="56"/>
  <c r="AP66" i="56"/>
  <c r="AH66" i="56"/>
  <c r="Z66" i="56"/>
  <c r="R66" i="56"/>
  <c r="J66" i="56"/>
  <c r="B66" i="56"/>
  <c r="BL65" i="56"/>
  <c r="BD65" i="56"/>
  <c r="AV65" i="56"/>
  <c r="AN65" i="56"/>
  <c r="AF65" i="56"/>
  <c r="X65" i="56"/>
  <c r="P65" i="56"/>
  <c r="H65" i="56"/>
  <c r="G167" i="56"/>
  <c r="S165" i="56"/>
  <c r="AE163" i="56"/>
  <c r="AQ161" i="56"/>
  <c r="BC159" i="56"/>
  <c r="H158" i="56"/>
  <c r="K157" i="56"/>
  <c r="Q156" i="56"/>
  <c r="W155" i="56"/>
  <c r="AC154" i="56"/>
  <c r="AL78" i="56"/>
  <c r="C78" i="56"/>
  <c r="AO77" i="56"/>
  <c r="I77" i="56"/>
  <c r="AU76" i="56"/>
  <c r="O76" i="56"/>
  <c r="BA75" i="56"/>
  <c r="U75" i="56"/>
  <c r="BG74" i="56"/>
  <c r="AH74" i="56"/>
  <c r="I74" i="56"/>
  <c r="BD73" i="56"/>
  <c r="AI73" i="56"/>
  <c r="S73" i="56"/>
  <c r="C73" i="56"/>
  <c r="BE72" i="56"/>
  <c r="AO72" i="56"/>
  <c r="Y72" i="56"/>
  <c r="I72" i="56"/>
  <c r="BK71" i="56"/>
  <c r="AU71" i="56"/>
  <c r="AE71" i="56"/>
  <c r="O71" i="56"/>
  <c r="BQ70" i="56"/>
  <c r="BA70" i="56"/>
  <c r="AM70" i="56"/>
  <c r="AA70" i="56"/>
  <c r="M70" i="56"/>
  <c r="BR69" i="56"/>
  <c r="BF69" i="56"/>
  <c r="AS69" i="56"/>
  <c r="AG69" i="56"/>
  <c r="S69" i="56"/>
  <c r="F69" i="56"/>
  <c r="BL68" i="56"/>
  <c r="BB68" i="56"/>
  <c r="AS68" i="56"/>
  <c r="AK68" i="56"/>
  <c r="AC68" i="56"/>
  <c r="U68" i="56"/>
  <c r="M68" i="56"/>
  <c r="E68" i="56"/>
  <c r="BO67" i="56"/>
  <c r="BG67" i="56"/>
  <c r="AY67" i="56"/>
  <c r="AQ67" i="56"/>
  <c r="AI67" i="56"/>
  <c r="AA67" i="56"/>
  <c r="S67" i="56"/>
  <c r="K67" i="56"/>
  <c r="C67" i="56"/>
  <c r="BM66" i="56"/>
  <c r="BE66" i="56"/>
  <c r="AW66" i="56"/>
  <c r="AO66" i="56"/>
  <c r="AG66" i="56"/>
  <c r="Y66" i="56"/>
  <c r="Q66" i="56"/>
  <c r="I66" i="56"/>
  <c r="BS65" i="56"/>
  <c r="BK65" i="56"/>
  <c r="BC65" i="56"/>
  <c r="AU65" i="56"/>
  <c r="AM65" i="56"/>
  <c r="AE65" i="56"/>
  <c r="W65" i="56"/>
  <c r="O65" i="56"/>
  <c r="G65" i="56"/>
  <c r="BL166" i="56"/>
  <c r="F165" i="56"/>
  <c r="R163" i="56"/>
  <c r="AD161" i="56"/>
  <c r="AP159" i="56"/>
  <c r="B158" i="56"/>
  <c r="F157" i="56"/>
  <c r="L156" i="56"/>
  <c r="R155" i="56"/>
  <c r="X154" i="56"/>
  <c r="AK78" i="56"/>
  <c r="B78" i="56"/>
  <c r="AN77" i="56"/>
  <c r="H77" i="56"/>
  <c r="AT76" i="56"/>
  <c r="N76" i="56"/>
  <c r="AZ75" i="56"/>
  <c r="T75" i="56"/>
  <c r="BF74" i="56"/>
  <c r="AG74" i="56"/>
  <c r="F74" i="56"/>
  <c r="BC73" i="56"/>
  <c r="AH73" i="56"/>
  <c r="R73" i="56"/>
  <c r="B73" i="56"/>
  <c r="BD72" i="56"/>
  <c r="AN72" i="56"/>
  <c r="X72" i="56"/>
  <c r="H72" i="56"/>
  <c r="BJ71" i="56"/>
  <c r="AT71" i="56"/>
  <c r="AD71" i="56"/>
  <c r="N71" i="56"/>
  <c r="BP70" i="56"/>
  <c r="AZ70" i="56"/>
  <c r="AK70" i="56"/>
  <c r="X70" i="56"/>
  <c r="L70" i="56"/>
  <c r="BQ69" i="56"/>
  <c r="BE69" i="56"/>
  <c r="AQ69" i="56"/>
  <c r="AD69" i="56"/>
  <c r="R69" i="56"/>
  <c r="E69" i="56"/>
  <c r="BK68" i="56"/>
  <c r="AZ68" i="56"/>
  <c r="AR68" i="56"/>
  <c r="AJ68" i="56"/>
  <c r="AB68" i="56"/>
  <c r="T68" i="56"/>
  <c r="L68" i="56"/>
  <c r="D68" i="56"/>
  <c r="BN67" i="56"/>
  <c r="BF67" i="56"/>
  <c r="AX67" i="56"/>
  <c r="AP67" i="56"/>
  <c r="AH67" i="56"/>
  <c r="Z67" i="56"/>
  <c r="R67" i="56"/>
  <c r="J67" i="56"/>
  <c r="B67" i="56"/>
  <c r="BL66" i="56"/>
  <c r="BD66" i="56"/>
  <c r="AV66" i="56"/>
  <c r="AN66" i="56"/>
  <c r="AF66" i="56"/>
  <c r="X66" i="56"/>
  <c r="P66" i="56"/>
  <c r="H66" i="56"/>
  <c r="BR65" i="56"/>
  <c r="BJ65" i="56"/>
  <c r="BB65" i="56"/>
  <c r="AT65" i="56"/>
  <c r="AL65" i="56"/>
  <c r="AD65" i="56"/>
  <c r="V65" i="56"/>
  <c r="N65" i="56"/>
  <c r="F65" i="56"/>
  <c r="C65" i="56"/>
  <c r="S65" i="56"/>
  <c r="AI65" i="56"/>
  <c r="AY65" i="56"/>
  <c r="BO65" i="56"/>
  <c r="M66" i="56"/>
  <c r="AC66" i="56"/>
  <c r="AS66" i="56"/>
  <c r="BI66" i="56"/>
  <c r="G67" i="56"/>
  <c r="W67" i="56"/>
  <c r="AM67" i="56"/>
  <c r="BC67" i="56"/>
  <c r="BS67" i="56"/>
  <c r="Q68" i="56"/>
  <c r="AG68" i="56"/>
  <c r="AW68" i="56"/>
  <c r="BS68" i="56"/>
  <c r="Z69" i="56"/>
  <c r="AY69" i="56"/>
  <c r="G70" i="56"/>
  <c r="AF70" i="56"/>
  <c r="BI70" i="56"/>
  <c r="W71" i="56"/>
  <c r="BC71" i="56"/>
  <c r="Q72" i="56"/>
  <c r="AW72" i="56"/>
  <c r="K73" i="56"/>
  <c r="AR73" i="56"/>
  <c r="U74" i="56"/>
  <c r="E75" i="56"/>
  <c r="BQ75" i="56"/>
  <c r="BK76" i="56"/>
  <c r="BE77" i="56"/>
  <c r="BO78" i="56"/>
  <c r="BC155" i="56"/>
  <c r="AQ157" i="56"/>
  <c r="AW160" i="56"/>
  <c r="Y164" i="56"/>
  <c r="N18" i="55" s="1"/>
  <c r="BS167" i="56"/>
  <c r="J8" i="54"/>
  <c r="C9" i="54"/>
  <c r="K9" i="54"/>
  <c r="D10" i="54"/>
  <c r="L10" i="54"/>
  <c r="E11" i="54"/>
  <c r="M11" i="54"/>
  <c r="F12" i="54"/>
  <c r="N12" i="54"/>
  <c r="G13" i="54"/>
  <c r="O13" i="54"/>
  <c r="H14" i="54"/>
  <c r="P14" i="54"/>
  <c r="I15" i="54"/>
  <c r="Q15" i="54"/>
  <c r="J16" i="54"/>
  <c r="C17" i="54"/>
  <c r="K17" i="54"/>
  <c r="D18" i="54"/>
  <c r="L18" i="54"/>
  <c r="E19" i="54"/>
  <c r="M19" i="54"/>
  <c r="F20" i="54"/>
  <c r="N20" i="54"/>
  <c r="D65" i="56"/>
  <c r="T65" i="56"/>
  <c r="AJ65" i="56"/>
  <c r="AZ65" i="56"/>
  <c r="BP65" i="56"/>
  <c r="N66" i="56"/>
  <c r="AD66" i="56"/>
  <c r="AT66" i="56"/>
  <c r="BJ66" i="56"/>
  <c r="H67" i="56"/>
  <c r="X67" i="56"/>
  <c r="AN67" i="56"/>
  <c r="BD67" i="56"/>
  <c r="B68" i="56"/>
  <c r="R68" i="56"/>
  <c r="AH68" i="56"/>
  <c r="AX68" i="56"/>
  <c r="B69" i="56"/>
  <c r="AA69" i="56"/>
  <c r="BA69" i="56"/>
  <c r="H70" i="56"/>
  <c r="AI70" i="56"/>
  <c r="BK70" i="56"/>
  <c r="Y71" i="56"/>
  <c r="BE71" i="56"/>
  <c r="S72" i="56"/>
  <c r="AY72" i="56"/>
  <c r="M73" i="56"/>
  <c r="AV73" i="56"/>
  <c r="Y74" i="56"/>
  <c r="H75" i="56"/>
  <c r="B76" i="56"/>
  <c r="BN76" i="56"/>
  <c r="BH77" i="56"/>
  <c r="BR78" i="56"/>
  <c r="BF155" i="56"/>
  <c r="AT157" i="56"/>
  <c r="AZ160" i="56"/>
  <c r="AB164" i="56"/>
  <c r="K8" i="54"/>
  <c r="E10" i="54"/>
  <c r="N11" i="54"/>
  <c r="H13" i="54"/>
  <c r="Q14" i="54"/>
  <c r="K16" i="54"/>
  <c r="E18" i="54"/>
  <c r="N19" i="54"/>
  <c r="U65" i="56"/>
  <c r="BQ65" i="56"/>
  <c r="AU66" i="56"/>
  <c r="Y67" i="56"/>
  <c r="C68" i="56"/>
  <c r="AY68" i="56"/>
  <c r="BB69" i="56"/>
  <c r="BL70" i="56"/>
  <c r="T72" i="56"/>
  <c r="AW73" i="56"/>
  <c r="F76" i="56"/>
  <c r="H154" i="56"/>
  <c r="BP160" i="56"/>
  <c r="L8" i="54"/>
  <c r="F10" i="54"/>
  <c r="O11" i="54"/>
  <c r="I13" i="54"/>
  <c r="C15" i="54"/>
  <c r="L16" i="54"/>
  <c r="F18" i="54"/>
  <c r="H20" i="54"/>
  <c r="AP65" i="56"/>
  <c r="T66" i="56"/>
  <c r="BP66" i="56"/>
  <c r="AT67" i="56"/>
  <c r="X68" i="56"/>
  <c r="K69" i="56"/>
  <c r="S70" i="56"/>
  <c r="AL71" i="56"/>
  <c r="Z73" i="56"/>
  <c r="AJ75" i="56"/>
  <c r="X77" i="56"/>
  <c r="AR156" i="56"/>
  <c r="X162" i="56"/>
  <c r="E8" i="54"/>
  <c r="M8" i="54"/>
  <c r="F9" i="54"/>
  <c r="N9" i="54"/>
  <c r="G10" i="54"/>
  <c r="O10" i="54"/>
  <c r="H11" i="54"/>
  <c r="P11" i="54"/>
  <c r="I12" i="54"/>
  <c r="Q12" i="54"/>
  <c r="J13" i="54"/>
  <c r="C14" i="54"/>
  <c r="K14" i="54"/>
  <c r="D15" i="54"/>
  <c r="L15" i="54"/>
  <c r="E16" i="54"/>
  <c r="M16" i="54"/>
  <c r="F17" i="54"/>
  <c r="N17" i="54"/>
  <c r="G18" i="54"/>
  <c r="O18" i="54"/>
  <c r="H19" i="54"/>
  <c r="P19" i="54"/>
  <c r="I20" i="54"/>
  <c r="Q20" i="54"/>
  <c r="K65" i="56"/>
  <c r="AA65" i="56"/>
  <c r="AQ65" i="56"/>
  <c r="BG65" i="56"/>
  <c r="E66" i="56"/>
  <c r="U66" i="56"/>
  <c r="AK66" i="56"/>
  <c r="BA66" i="56"/>
  <c r="BQ66" i="56"/>
  <c r="O67" i="56"/>
  <c r="AE67" i="56"/>
  <c r="AU67" i="56"/>
  <c r="BK67" i="56"/>
  <c r="I68" i="56"/>
  <c r="Y68" i="56"/>
  <c r="AO68" i="56"/>
  <c r="BF68" i="56"/>
  <c r="M69" i="56"/>
  <c r="AL69" i="56"/>
  <c r="BM69" i="56"/>
  <c r="T70" i="56"/>
  <c r="AS70" i="56"/>
  <c r="G71" i="56"/>
  <c r="AM71" i="56"/>
  <c r="BS71" i="56"/>
  <c r="AG72" i="56"/>
  <c r="BM72" i="56"/>
  <c r="AA73" i="56"/>
  <c r="BN73" i="56"/>
  <c r="AT74" i="56"/>
  <c r="AK75" i="56"/>
  <c r="AE76" i="56"/>
  <c r="Y77" i="56"/>
  <c r="S78" i="56"/>
  <c r="BI154" i="56"/>
  <c r="AW156" i="56"/>
  <c r="BI158" i="56"/>
  <c r="AK162" i="56"/>
  <c r="M166" i="56"/>
  <c r="D9" i="54"/>
  <c r="M10" i="54"/>
  <c r="G12" i="54"/>
  <c r="I14" i="54"/>
  <c r="C16" i="54"/>
  <c r="L17" i="54"/>
  <c r="F19" i="54"/>
  <c r="O20" i="54"/>
  <c r="AK65" i="56"/>
  <c r="O66" i="56"/>
  <c r="BK66" i="56"/>
  <c r="AO67" i="56"/>
  <c r="S68" i="56"/>
  <c r="C69" i="56"/>
  <c r="K70" i="56"/>
  <c r="Z71" i="56"/>
  <c r="AZ72" i="56"/>
  <c r="Z74" i="56"/>
  <c r="BR76" i="56"/>
  <c r="BN155" i="56"/>
  <c r="AR164" i="56"/>
  <c r="E9" i="54"/>
  <c r="G11" i="54"/>
  <c r="P12" i="54"/>
  <c r="J14" i="54"/>
  <c r="D16" i="54"/>
  <c r="M17" i="54"/>
  <c r="G19" i="54"/>
  <c r="P20" i="54"/>
  <c r="Z65" i="56"/>
  <c r="D66" i="56"/>
  <c r="AZ66" i="56"/>
  <c r="AD67" i="56"/>
  <c r="H68" i="56"/>
  <c r="BE68" i="56"/>
  <c r="BJ69" i="56"/>
  <c r="F71" i="56"/>
  <c r="AF72" i="56"/>
  <c r="AS74" i="56"/>
  <c r="R78" i="56"/>
  <c r="BD154" i="56"/>
  <c r="AV158" i="56"/>
  <c r="F8" i="54"/>
  <c r="N8" i="54"/>
  <c r="G9" i="54"/>
  <c r="O9" i="54"/>
  <c r="H10" i="54"/>
  <c r="P10" i="54"/>
  <c r="I11" i="54"/>
  <c r="Q11" i="54"/>
  <c r="J12" i="54"/>
  <c r="C13" i="54"/>
  <c r="K13" i="54"/>
  <c r="D14" i="54"/>
  <c r="L14" i="54"/>
  <c r="E15" i="54"/>
  <c r="M15" i="54"/>
  <c r="F16" i="54"/>
  <c r="N16" i="54"/>
  <c r="G17" i="54"/>
  <c r="O17" i="54"/>
  <c r="H18" i="54"/>
  <c r="P18" i="54"/>
  <c r="I19" i="54"/>
  <c r="Q19" i="54"/>
  <c r="J20" i="54"/>
  <c r="L65" i="56"/>
  <c r="AB65" i="56"/>
  <c r="AR65" i="56"/>
  <c r="BH65" i="56"/>
  <c r="F66" i="56"/>
  <c r="V66" i="56"/>
  <c r="AL66" i="56"/>
  <c r="BB66" i="56"/>
  <c r="BR66" i="56"/>
  <c r="P67" i="56"/>
  <c r="AF67" i="56"/>
  <c r="AV67" i="56"/>
  <c r="BL67" i="56"/>
  <c r="J68" i="56"/>
  <c r="Z68" i="56"/>
  <c r="AP68" i="56"/>
  <c r="BG68" i="56"/>
  <c r="N69" i="56"/>
  <c r="AO69" i="56"/>
  <c r="BN69" i="56"/>
  <c r="U70" i="56"/>
  <c r="AU70" i="56"/>
  <c r="I71" i="56"/>
  <c r="AO71" i="56"/>
  <c r="C72" i="56"/>
  <c r="AI72" i="56"/>
  <c r="BO72" i="56"/>
  <c r="AC73" i="56"/>
  <c r="BP73" i="56"/>
  <c r="AX74" i="56"/>
  <c r="AN75" i="56"/>
  <c r="AH76" i="56"/>
  <c r="AB77" i="56"/>
  <c r="V78" i="56"/>
  <c r="BL154" i="56"/>
  <c r="AZ156" i="56"/>
  <c r="BL158" i="56"/>
  <c r="AN162" i="56"/>
  <c r="P166" i="56"/>
  <c r="C8" i="54"/>
  <c r="L9" i="54"/>
  <c r="F11" i="54"/>
  <c r="O12" i="54"/>
  <c r="P13" i="54"/>
  <c r="J15" i="54"/>
  <c r="D17" i="54"/>
  <c r="M18" i="54"/>
  <c r="G20" i="54"/>
  <c r="E65" i="56"/>
  <c r="BA65" i="56"/>
  <c r="AE66" i="56"/>
  <c r="I67" i="56"/>
  <c r="BE67" i="56"/>
  <c r="AI68" i="56"/>
  <c r="AC69" i="56"/>
  <c r="AJ70" i="56"/>
  <c r="BF71" i="56"/>
  <c r="N73" i="56"/>
  <c r="L75" i="56"/>
  <c r="BL77" i="56"/>
  <c r="BB157" i="56"/>
  <c r="D8" i="54"/>
  <c r="M9" i="54"/>
  <c r="N10" i="54"/>
  <c r="H12" i="54"/>
  <c r="Q13" i="54"/>
  <c r="K15" i="54"/>
  <c r="E17" i="54"/>
  <c r="N18" i="54"/>
  <c r="O19" i="54"/>
  <c r="J65" i="56"/>
  <c r="BF65" i="56"/>
  <c r="AJ66" i="56"/>
  <c r="N67" i="56"/>
  <c r="BJ67" i="56"/>
  <c r="AN68" i="56"/>
  <c r="AK69" i="56"/>
  <c r="AR70" i="56"/>
  <c r="BR71" i="56"/>
  <c r="BL72" i="56"/>
  <c r="BM73" i="56"/>
  <c r="AD76" i="56"/>
  <c r="BR165" i="56"/>
  <c r="G8" i="54"/>
  <c r="O8" i="54"/>
  <c r="H9" i="54"/>
  <c r="P9" i="54"/>
  <c r="I10" i="54"/>
  <c r="Q10" i="54"/>
  <c r="J11" i="54"/>
  <c r="C12" i="54"/>
  <c r="K12" i="54"/>
  <c r="D13" i="54"/>
  <c r="L13" i="54"/>
  <c r="E14" i="54"/>
  <c r="M14" i="54"/>
  <c r="F15" i="54"/>
  <c r="N15" i="54"/>
  <c r="G16" i="54"/>
  <c r="O16" i="54"/>
  <c r="H17" i="54"/>
  <c r="P17" i="54"/>
  <c r="I18" i="54"/>
  <c r="Q18" i="54"/>
  <c r="J19" i="54"/>
  <c r="C20" i="54"/>
  <c r="M65" i="56"/>
  <c r="AC65" i="56"/>
  <c r="AS65" i="56"/>
  <c r="BI65" i="56"/>
  <c r="G66" i="56"/>
  <c r="W66" i="56"/>
  <c r="AM66" i="56"/>
  <c r="BC66" i="56"/>
  <c r="BS66" i="56"/>
  <c r="Q67" i="56"/>
  <c r="AG67" i="56"/>
  <c r="AW67" i="56"/>
  <c r="BM67" i="56"/>
  <c r="K68" i="56"/>
  <c r="AA68" i="56"/>
  <c r="AQ68" i="56"/>
  <c r="BH68" i="56"/>
  <c r="Q69" i="56"/>
  <c r="AP69" i="56"/>
  <c r="BO69" i="56"/>
  <c r="W70" i="56"/>
  <c r="AV70" i="56"/>
  <c r="J71" i="56"/>
  <c r="AP71" i="56"/>
  <c r="D72" i="56"/>
  <c r="AJ72" i="56"/>
  <c r="BP72" i="56"/>
  <c r="AD73" i="56"/>
  <c r="BS73" i="56"/>
  <c r="AY74" i="56"/>
  <c r="AR75" i="56"/>
  <c r="AL76" i="56"/>
  <c r="AF77" i="56"/>
  <c r="AA78" i="56"/>
  <c r="B155" i="56"/>
  <c r="BH156" i="56"/>
  <c r="J159" i="56"/>
  <c r="BD162" i="56"/>
  <c r="AF166" i="56"/>
  <c r="M11" i="55" l="1"/>
  <c r="Q21" i="55"/>
  <c r="H15" i="55"/>
  <c r="E13" i="55"/>
  <c r="P19" i="55"/>
  <c r="O13" i="55"/>
  <c r="L14" i="55"/>
  <c r="I15" i="55"/>
  <c r="F16" i="55"/>
  <c r="C17" i="55"/>
  <c r="J14" i="55"/>
  <c r="L19" i="55"/>
  <c r="J8" i="55"/>
  <c r="C10" i="55"/>
  <c r="M9" i="55"/>
  <c r="E21" i="55"/>
  <c r="K13" i="55"/>
  <c r="H14" i="55"/>
  <c r="E15" i="55"/>
  <c r="Q17" i="55"/>
  <c r="L16" i="55"/>
  <c r="G15" i="55"/>
  <c r="N21" i="55"/>
  <c r="G11" i="55"/>
  <c r="Q11" i="55"/>
  <c r="N14" i="55"/>
  <c r="H16" i="55"/>
  <c r="K14" i="55"/>
  <c r="G9" i="55"/>
  <c r="D10" i="55"/>
  <c r="Q13" i="55"/>
  <c r="K15" i="55"/>
  <c r="E17" i="55"/>
  <c r="I9" i="55"/>
  <c r="I17" i="55"/>
  <c r="C18" i="55"/>
  <c r="O16" i="55"/>
  <c r="F20" i="55"/>
  <c r="E19" i="55"/>
  <c r="M15" i="55"/>
  <c r="D18" i="55"/>
  <c r="P17" i="55"/>
  <c r="M18" i="55"/>
  <c r="J20" i="55"/>
  <c r="G19" i="55"/>
  <c r="D21" i="55"/>
  <c r="K10" i="55"/>
  <c r="P16" i="55"/>
  <c r="J18" i="55"/>
  <c r="D19" i="55"/>
  <c r="Q15" i="55"/>
  <c r="N16" i="55"/>
  <c r="K17" i="55"/>
  <c r="H18" i="55"/>
  <c r="E20" i="55"/>
  <c r="C12" i="55"/>
  <c r="N9" i="55"/>
  <c r="L11" i="55"/>
  <c r="O14" i="55"/>
  <c r="L17" i="55"/>
  <c r="C19" i="55"/>
  <c r="Q9" i="55"/>
  <c r="Q16" i="55"/>
  <c r="J16" i="55"/>
  <c r="F21" i="55"/>
  <c r="C11" i="55"/>
  <c r="I16" i="55"/>
  <c r="I18" i="55"/>
  <c r="K11" i="55"/>
  <c r="M21" i="55"/>
  <c r="K18" i="55"/>
  <c r="P14" i="55"/>
  <c r="G17" i="55"/>
  <c r="H8" i="55"/>
  <c r="I13" i="55"/>
  <c r="C15" i="55"/>
  <c r="I19" i="55"/>
  <c r="E16" i="55"/>
  <c r="F12" i="55"/>
  <c r="J9" i="55"/>
  <c r="D11" i="55"/>
  <c r="O9" i="55"/>
  <c r="L10" i="55"/>
  <c r="I11" i="55"/>
  <c r="H12" i="55"/>
  <c r="O20" i="55"/>
  <c r="I21" i="55"/>
  <c r="D12" i="55"/>
  <c r="Q10" i="55"/>
  <c r="N11" i="55"/>
  <c r="G14" i="55"/>
  <c r="N12" i="55"/>
  <c r="Q14" i="55"/>
  <c r="N15" i="55"/>
  <c r="K16" i="55"/>
  <c r="H17" i="55"/>
  <c r="E18" i="55"/>
  <c r="H21" i="54"/>
  <c r="L21" i="54"/>
  <c r="Q21" i="54"/>
  <c r="P21" i="54"/>
  <c r="N21" i="54"/>
  <c r="C14" i="55"/>
  <c r="C21" i="54"/>
  <c r="E21" i="54"/>
  <c r="K21" i="54"/>
  <c r="P8" i="55"/>
  <c r="K20" i="55"/>
  <c r="L12" i="55"/>
  <c r="Q8" i="55"/>
  <c r="L20" i="55"/>
  <c r="E9" i="55"/>
  <c r="M13" i="55"/>
  <c r="F13" i="55"/>
  <c r="Q19" i="55"/>
  <c r="N8" i="55"/>
  <c r="K9" i="55"/>
  <c r="H10" i="55"/>
  <c r="E11" i="55"/>
  <c r="M17" i="55"/>
  <c r="G20" i="55"/>
  <c r="P9" i="55"/>
  <c r="M10" i="55"/>
  <c r="J11" i="55"/>
  <c r="I12" i="55"/>
  <c r="P20" i="55"/>
  <c r="J21" i="55"/>
  <c r="G13" i="55"/>
  <c r="D14" i="55"/>
  <c r="O21" i="55"/>
  <c r="P13" i="55"/>
  <c r="M14" i="55"/>
  <c r="J15" i="55"/>
  <c r="G16" i="55"/>
  <c r="D17" i="55"/>
  <c r="J10" i="55"/>
  <c r="M21" i="54"/>
  <c r="D16" i="55"/>
  <c r="P11" i="55"/>
  <c r="M12" i="55"/>
  <c r="I21" i="54"/>
  <c r="C8" i="55"/>
  <c r="M19" i="55"/>
  <c r="Q18" i="55"/>
  <c r="N20" i="55"/>
  <c r="K19" i="55"/>
  <c r="H21" i="55"/>
  <c r="F21" i="54"/>
  <c r="I8" i="55"/>
  <c r="F18" i="55"/>
  <c r="E8" i="55"/>
  <c r="E12" i="55"/>
  <c r="D21" i="54"/>
  <c r="H19" i="55"/>
  <c r="J21" i="54"/>
  <c r="Q12" i="55"/>
  <c r="D8" i="55"/>
  <c r="M8" i="55"/>
  <c r="G10" i="55"/>
  <c r="P15" i="55"/>
  <c r="D20" i="55"/>
  <c r="G8" i="55"/>
  <c r="D9" i="55"/>
  <c r="J13" i="55"/>
  <c r="D15" i="55"/>
  <c r="O17" i="55"/>
  <c r="L18" i="55"/>
  <c r="I20" i="55"/>
  <c r="F19" i="55"/>
  <c r="C21" i="55"/>
  <c r="G12" i="55"/>
  <c r="D13" i="55"/>
  <c r="O19" i="55"/>
  <c r="L21" i="55"/>
  <c r="H11" i="55"/>
  <c r="F9" i="55"/>
  <c r="N13" i="55"/>
  <c r="L8" i="55"/>
  <c r="F10" i="55"/>
  <c r="O15" i="55"/>
  <c r="C20" i="55"/>
  <c r="O10" i="55"/>
  <c r="F8" i="55"/>
  <c r="C9" i="55"/>
  <c r="K8" i="55"/>
  <c r="H9" i="55"/>
  <c r="E10" i="55"/>
  <c r="L15" i="55"/>
  <c r="F17" i="55"/>
  <c r="P18" i="55"/>
  <c r="M20" i="55"/>
  <c r="J19" i="55"/>
  <c r="G21" i="55"/>
  <c r="K12" i="55"/>
  <c r="H13" i="55"/>
  <c r="E14" i="55"/>
  <c r="P21" i="55"/>
  <c r="J17" i="55"/>
  <c r="O21" i="54"/>
  <c r="G21" i="54"/>
  <c r="O18" i="55"/>
  <c r="P12" i="55"/>
  <c r="N10" i="55"/>
  <c r="J12" i="55"/>
  <c r="M16" i="55"/>
  <c r="O8" i="55"/>
  <c r="L9" i="55"/>
  <c r="I10" i="55"/>
  <c r="F11" i="55"/>
  <c r="N17" i="55"/>
  <c r="H20" i="55"/>
  <c r="C13" i="55"/>
  <c r="Q20" i="55"/>
  <c r="N19" i="55"/>
  <c r="K21" i="55"/>
  <c r="O12" i="55"/>
  <c r="L13" i="55"/>
  <c r="I14" i="55"/>
  <c r="F15" i="55"/>
  <c r="C16" i="55"/>
  <c r="N1" i="54"/>
  <c r="J1" i="54"/>
  <c r="N1" i="55"/>
  <c r="H1" i="54"/>
  <c r="E1" i="54"/>
  <c r="C1" i="55"/>
  <c r="D1" i="54"/>
  <c r="K1" i="54"/>
  <c r="O1" i="55"/>
  <c r="D1" i="55"/>
  <c r="P1" i="55"/>
  <c r="K1" i="55"/>
  <c r="O1" i="54"/>
  <c r="F1" i="54"/>
  <c r="Q1" i="54"/>
  <c r="M1" i="54"/>
  <c r="E1" i="55"/>
  <c r="H1" i="55"/>
  <c r="I1" i="54"/>
  <c r="G1" i="54"/>
  <c r="L1" i="54"/>
  <c r="J1" i="55"/>
  <c r="F1" i="55"/>
  <c r="I1" i="55"/>
  <c r="M1" i="55"/>
  <c r="C1" i="54"/>
  <c r="Q1" i="55"/>
  <c r="G1" i="55"/>
  <c r="P1" i="54"/>
  <c r="L1" i="55"/>
  <c r="B1" i="46" l="1"/>
  <c r="C1" i="46"/>
  <c r="D1" i="46"/>
  <c r="E1" i="46"/>
  <c r="F1" i="46"/>
  <c r="G1" i="46"/>
  <c r="H1" i="46"/>
  <c r="I1" i="46"/>
  <c r="J1" i="46"/>
  <c r="K1" i="46"/>
  <c r="L1" i="46"/>
  <c r="M1" i="46"/>
  <c r="N1" i="46"/>
  <c r="O1" i="46"/>
  <c r="P1" i="46"/>
  <c r="Q1" i="46"/>
  <c r="R1" i="46"/>
  <c r="S1" i="46"/>
  <c r="T1" i="46"/>
  <c r="U1" i="46"/>
  <c r="V1" i="46"/>
  <c r="W1" i="46"/>
  <c r="X1" i="46"/>
  <c r="Y1" i="46"/>
  <c r="Z1" i="46"/>
  <c r="AA1" i="46"/>
  <c r="AB1" i="46"/>
  <c r="AC1" i="46"/>
  <c r="AD1" i="46"/>
  <c r="AE1" i="46"/>
  <c r="AF1" i="46"/>
  <c r="AG1" i="46"/>
  <c r="AH1" i="46"/>
  <c r="AJ1" i="46"/>
  <c r="AK1" i="46"/>
  <c r="AL1" i="46"/>
  <c r="AM1" i="46"/>
  <c r="AN1" i="46"/>
  <c r="AO1" i="46"/>
  <c r="AP1" i="46"/>
  <c r="AQ1" i="46"/>
  <c r="AR1" i="46"/>
  <c r="AS1" i="46"/>
  <c r="AT1" i="46"/>
  <c r="AU1" i="46"/>
  <c r="AV1" i="46"/>
  <c r="AW1" i="46"/>
  <c r="AX1" i="46"/>
  <c r="AY1" i="46"/>
  <c r="AZ1" i="46"/>
  <c r="BA1" i="46"/>
  <c r="BB1" i="46"/>
  <c r="AI1" i="46"/>
  <c r="B8" i="49"/>
  <c r="B22" i="49" l="1"/>
  <c r="B18" i="49"/>
  <c r="B17" i="49"/>
  <c r="B16" i="49"/>
  <c r="B15" i="49"/>
  <c r="B14" i="49"/>
  <c r="B13" i="49"/>
  <c r="B12" i="49"/>
  <c r="B11" i="49"/>
  <c r="B10" i="49"/>
  <c r="B9" i="49"/>
  <c r="A5" i="49"/>
  <c r="P50" i="43"/>
  <c r="P51" i="43"/>
  <c r="P49" i="43"/>
  <c r="A80" i="43" l="1"/>
  <c r="B80" i="43"/>
  <c r="A81" i="43"/>
  <c r="B81" i="43"/>
  <c r="A82" i="43"/>
  <c r="B82" i="43"/>
  <c r="A83" i="43"/>
  <c r="B83" i="43"/>
  <c r="A84" i="43"/>
  <c r="B84" i="43"/>
  <c r="A85" i="43"/>
  <c r="B85" i="43"/>
  <c r="A86" i="43"/>
  <c r="B86" i="43"/>
  <c r="A87" i="43"/>
  <c r="B87" i="43"/>
  <c r="A88" i="43"/>
  <c r="B88" i="43"/>
  <c r="A89" i="43"/>
  <c r="B89" i="43"/>
  <c r="A90" i="43"/>
  <c r="B90" i="43"/>
  <c r="A91" i="43"/>
  <c r="B91" i="43"/>
  <c r="A92" i="43"/>
  <c r="B92" i="43"/>
  <c r="A93" i="43"/>
  <c r="B93" i="43"/>
  <c r="A94" i="43"/>
  <c r="B94" i="43"/>
  <c r="A95" i="43"/>
  <c r="B95" i="43"/>
  <c r="A96" i="43"/>
  <c r="B96" i="43"/>
  <c r="A97" i="43"/>
  <c r="B97" i="43"/>
  <c r="A98" i="43"/>
  <c r="B98" i="43"/>
  <c r="A99" i="43"/>
  <c r="B99" i="43"/>
  <c r="A100" i="43"/>
  <c r="B100" i="43"/>
  <c r="A101" i="43"/>
  <c r="B101" i="43"/>
  <c r="A102" i="43"/>
  <c r="B102" i="43"/>
  <c r="A103" i="43"/>
  <c r="B103" i="43"/>
  <c r="A104" i="43"/>
  <c r="B104" i="43"/>
  <c r="A105" i="43"/>
  <c r="B105" i="43"/>
  <c r="A106" i="43"/>
  <c r="B106" i="43"/>
  <c r="A107" i="43"/>
  <c r="B107" i="43"/>
  <c r="A108" i="43"/>
  <c r="B108" i="43"/>
  <c r="A109" i="43"/>
  <c r="B109" i="43"/>
  <c r="A110" i="43"/>
  <c r="B110" i="43"/>
  <c r="A111" i="43"/>
  <c r="B111" i="43"/>
  <c r="A112" i="43"/>
  <c r="B112" i="43"/>
  <c r="A113" i="43"/>
  <c r="B113" i="43"/>
  <c r="A114" i="43"/>
  <c r="B114" i="43"/>
  <c r="A115" i="43"/>
  <c r="B115" i="43"/>
  <c r="A116" i="43"/>
  <c r="B116" i="43"/>
  <c r="A117" i="43"/>
  <c r="B117" i="43"/>
  <c r="A118" i="43"/>
  <c r="B118" i="43"/>
  <c r="A119" i="43"/>
  <c r="B119" i="43"/>
  <c r="A120" i="43"/>
  <c r="B120" i="43"/>
  <c r="A121" i="43"/>
  <c r="B121" i="43"/>
  <c r="A122" i="43"/>
  <c r="B122" i="43"/>
  <c r="A123" i="43"/>
  <c r="B123" i="43"/>
  <c r="A124" i="43"/>
  <c r="B124" i="43"/>
  <c r="A125" i="43"/>
  <c r="B125" i="43"/>
  <c r="A126" i="43"/>
  <c r="B126" i="43"/>
  <c r="A127" i="43"/>
  <c r="B127" i="43"/>
  <c r="A128" i="43"/>
  <c r="B128" i="43"/>
  <c r="A129" i="43"/>
  <c r="B129" i="43"/>
  <c r="A130" i="43"/>
  <c r="B130" i="43"/>
  <c r="A131" i="43"/>
  <c r="B131" i="43"/>
  <c r="A132" i="43"/>
  <c r="B132" i="43"/>
  <c r="A133" i="43"/>
  <c r="B133" i="43"/>
  <c r="A134" i="43"/>
  <c r="B134" i="43"/>
  <c r="A135" i="43"/>
  <c r="B135" i="43"/>
  <c r="A136" i="43"/>
  <c r="B136" i="43"/>
  <c r="A137" i="43"/>
  <c r="B137" i="43"/>
  <c r="A138" i="43"/>
  <c r="B138" i="43"/>
  <c r="A139" i="43"/>
  <c r="B139" i="43"/>
  <c r="A140" i="43"/>
  <c r="B140" i="43"/>
  <c r="A141" i="43"/>
  <c r="B141" i="43"/>
  <c r="A142" i="43"/>
  <c r="B142" i="43"/>
  <c r="A143" i="43"/>
  <c r="B143" i="43"/>
  <c r="A144" i="43"/>
  <c r="B144" i="43"/>
  <c r="A145" i="43"/>
  <c r="B145" i="43"/>
  <c r="A146" i="43"/>
  <c r="B146" i="43"/>
  <c r="A147" i="43"/>
  <c r="B147" i="43"/>
  <c r="A148" i="43"/>
  <c r="B148" i="43"/>
  <c r="A149" i="43"/>
  <c r="B149" i="43"/>
  <c r="A150" i="43"/>
  <c r="B150" i="43"/>
  <c r="A60" i="43"/>
  <c r="B60" i="43"/>
  <c r="A61" i="43"/>
  <c r="B61" i="43"/>
  <c r="A62" i="43"/>
  <c r="B62" i="43"/>
  <c r="A63" i="43"/>
  <c r="B63" i="43"/>
  <c r="A64" i="43"/>
  <c r="B64" i="43"/>
  <c r="A65" i="43"/>
  <c r="B65" i="43"/>
  <c r="A66" i="43"/>
  <c r="B66" i="43"/>
  <c r="A67" i="43"/>
  <c r="B67" i="43"/>
  <c r="A68" i="43"/>
  <c r="B68" i="43"/>
  <c r="A69" i="43"/>
  <c r="B69" i="43"/>
  <c r="A70" i="43"/>
  <c r="B70" i="43"/>
  <c r="A71" i="43"/>
  <c r="B71" i="43"/>
  <c r="A72" i="43"/>
  <c r="B72" i="43"/>
  <c r="A73" i="43"/>
  <c r="B73" i="43"/>
  <c r="A74" i="43"/>
  <c r="B74" i="43"/>
  <c r="A75" i="43"/>
  <c r="B75" i="43"/>
  <c r="A76" i="43"/>
  <c r="B76" i="43"/>
  <c r="A77" i="43"/>
  <c r="B77" i="43"/>
  <c r="A78" i="43"/>
  <c r="B78" i="43"/>
  <c r="A79" i="43"/>
  <c r="B79" i="43"/>
  <c r="I8" i="43"/>
  <c r="J8" i="43"/>
  <c r="K8" i="43"/>
  <c r="J66" i="43" l="1"/>
  <c r="K150" i="43"/>
  <c r="I66" i="43"/>
  <c r="K24" i="43"/>
  <c r="K49" i="43"/>
  <c r="K121" i="43"/>
  <c r="K84" i="43"/>
  <c r="K26" i="43"/>
  <c r="K50" i="43"/>
  <c r="K116" i="43"/>
  <c r="K79" i="43"/>
  <c r="K53" i="43"/>
  <c r="K71" i="43"/>
  <c r="K10" i="43"/>
  <c r="K35" i="43"/>
  <c r="K142" i="43"/>
  <c r="K100" i="43"/>
  <c r="K63" i="43"/>
  <c r="K12" i="43"/>
  <c r="K40" i="43"/>
  <c r="K134" i="43"/>
  <c r="K95" i="43"/>
  <c r="K62" i="43"/>
  <c r="K16" i="43"/>
  <c r="K41" i="43"/>
  <c r="K126" i="43"/>
  <c r="K94" i="43"/>
  <c r="K19" i="43"/>
  <c r="K44" i="43"/>
  <c r="K125" i="43"/>
  <c r="K89" i="43"/>
  <c r="K30" i="43"/>
  <c r="K111" i="43"/>
  <c r="K9" i="43"/>
  <c r="K32" i="43"/>
  <c r="K148" i="43"/>
  <c r="K103" i="43"/>
  <c r="K68" i="43"/>
  <c r="I23" i="43"/>
  <c r="I143" i="43"/>
  <c r="I135" i="43"/>
  <c r="I85" i="43"/>
  <c r="I148" i="43"/>
  <c r="I103" i="43"/>
  <c r="I71" i="43"/>
  <c r="I11" i="43"/>
  <c r="I18" i="43"/>
  <c r="K25" i="43"/>
  <c r="K33" i="43"/>
  <c r="K42" i="43"/>
  <c r="K51" i="43"/>
  <c r="K147" i="43"/>
  <c r="K141" i="43"/>
  <c r="K133" i="43"/>
  <c r="K122" i="43"/>
  <c r="K114" i="43"/>
  <c r="K102" i="43"/>
  <c r="K93" i="43"/>
  <c r="K82" i="43"/>
  <c r="K70" i="43"/>
  <c r="K61" i="43"/>
  <c r="I12" i="43"/>
  <c r="K18" i="43"/>
  <c r="I26" i="43"/>
  <c r="K34" i="43"/>
  <c r="K43" i="43"/>
  <c r="K52" i="43"/>
  <c r="K146" i="43"/>
  <c r="K140" i="43"/>
  <c r="K132" i="43"/>
  <c r="I122" i="43"/>
  <c r="K113" i="43"/>
  <c r="K101" i="43"/>
  <c r="K90" i="43"/>
  <c r="K81" i="43"/>
  <c r="K69" i="43"/>
  <c r="K59" i="43"/>
  <c r="I17" i="43"/>
  <c r="I146" i="43"/>
  <c r="I140" i="43"/>
  <c r="I131" i="43"/>
  <c r="K58" i="43"/>
  <c r="K13" i="43"/>
  <c r="I20" i="43"/>
  <c r="K27" i="43"/>
  <c r="K36" i="43"/>
  <c r="K45" i="43"/>
  <c r="K54" i="43"/>
  <c r="K145" i="43"/>
  <c r="K137" i="43"/>
  <c r="K130" i="43"/>
  <c r="K119" i="43"/>
  <c r="K109" i="43"/>
  <c r="I99" i="43"/>
  <c r="K87" i="43"/>
  <c r="K77" i="43"/>
  <c r="I67" i="43"/>
  <c r="K57" i="43"/>
  <c r="I14" i="43"/>
  <c r="K21" i="43"/>
  <c r="K28" i="43"/>
  <c r="K37" i="43"/>
  <c r="K46" i="43"/>
  <c r="K149" i="43"/>
  <c r="I145" i="43"/>
  <c r="I136" i="43"/>
  <c r="K129" i="43"/>
  <c r="K118" i="43"/>
  <c r="K108" i="43"/>
  <c r="K98" i="43"/>
  <c r="K86" i="43"/>
  <c r="K76" i="43"/>
  <c r="K66" i="43"/>
  <c r="I56" i="43"/>
  <c r="I117" i="43"/>
  <c r="I9" i="43"/>
  <c r="I15" i="43"/>
  <c r="K22" i="43"/>
  <c r="K29" i="43"/>
  <c r="K38" i="43"/>
  <c r="K48" i="43"/>
  <c r="I149" i="43"/>
  <c r="K143" i="43"/>
  <c r="K135" i="43"/>
  <c r="K127" i="43"/>
  <c r="K117" i="43"/>
  <c r="K105" i="43"/>
  <c r="K97" i="43"/>
  <c r="K85" i="43"/>
  <c r="K73" i="43"/>
  <c r="K65" i="43"/>
  <c r="J29" i="43"/>
  <c r="J32" i="43"/>
  <c r="J35" i="43"/>
  <c r="J38" i="43"/>
  <c r="J41" i="43"/>
  <c r="J44" i="43"/>
  <c r="J47" i="43"/>
  <c r="J129" i="43"/>
  <c r="J125" i="43"/>
  <c r="J111" i="43"/>
  <c r="I108" i="43"/>
  <c r="I104" i="43"/>
  <c r="J97" i="43"/>
  <c r="J93" i="43"/>
  <c r="I90" i="43"/>
  <c r="J79" i="43"/>
  <c r="I76" i="43"/>
  <c r="I72" i="43"/>
  <c r="J65" i="43"/>
  <c r="J61" i="43"/>
  <c r="J11" i="43"/>
  <c r="J14" i="43"/>
  <c r="J17" i="43"/>
  <c r="J20" i="43"/>
  <c r="J23" i="43"/>
  <c r="I48" i="43"/>
  <c r="I51" i="43"/>
  <c r="I54" i="43"/>
  <c r="I139" i="43"/>
  <c r="J132" i="43"/>
  <c r="J128" i="43"/>
  <c r="I125" i="43"/>
  <c r="J114" i="43"/>
  <c r="I111" i="43"/>
  <c r="I107" i="43"/>
  <c r="J100" i="43"/>
  <c r="J96" i="43"/>
  <c r="I93" i="43"/>
  <c r="J82" i="43"/>
  <c r="I79" i="43"/>
  <c r="I75" i="43"/>
  <c r="J68" i="43"/>
  <c r="J64" i="43"/>
  <c r="I61" i="43"/>
  <c r="J57" i="43"/>
  <c r="K64" i="43"/>
  <c r="K72" i="43"/>
  <c r="K80" i="43"/>
  <c r="K88" i="43"/>
  <c r="K96" i="43"/>
  <c r="K104" i="43"/>
  <c r="K112" i="43"/>
  <c r="K120" i="43"/>
  <c r="K128" i="43"/>
  <c r="K136" i="43"/>
  <c r="K144" i="43"/>
  <c r="K55" i="43"/>
  <c r="K47" i="43"/>
  <c r="K39" i="43"/>
  <c r="K31" i="43"/>
  <c r="K23" i="43"/>
  <c r="K15" i="43"/>
  <c r="K56" i="43"/>
  <c r="K67" i="43"/>
  <c r="K75" i="43"/>
  <c r="K83" i="43"/>
  <c r="K91" i="43"/>
  <c r="K99" i="43"/>
  <c r="K107" i="43"/>
  <c r="K115" i="43"/>
  <c r="K123" i="43"/>
  <c r="K131" i="43"/>
  <c r="K139" i="43"/>
  <c r="K11" i="43"/>
  <c r="K14" i="43"/>
  <c r="K17" i="43"/>
  <c r="K20" i="43"/>
  <c r="I24" i="43"/>
  <c r="I27" i="43"/>
  <c r="I30" i="43"/>
  <c r="I33" i="43"/>
  <c r="I36" i="43"/>
  <c r="I39" i="43"/>
  <c r="I42" i="43"/>
  <c r="J45" i="43"/>
  <c r="J48" i="43"/>
  <c r="J51" i="43"/>
  <c r="J54" i="43"/>
  <c r="J148" i="43"/>
  <c r="J145" i="43"/>
  <c r="J142" i="43"/>
  <c r="K138" i="43"/>
  <c r="J135" i="43"/>
  <c r="I132" i="43"/>
  <c r="I128" i="43"/>
  <c r="K124" i="43"/>
  <c r="J121" i="43"/>
  <c r="J117" i="43"/>
  <c r="I114" i="43"/>
  <c r="K110" i="43"/>
  <c r="K106" i="43"/>
  <c r="J103" i="43"/>
  <c r="I100" i="43"/>
  <c r="I96" i="43"/>
  <c r="K92" i="43"/>
  <c r="J89" i="43"/>
  <c r="J85" i="43"/>
  <c r="I82" i="43"/>
  <c r="K78" i="43"/>
  <c r="K74" i="43"/>
  <c r="J71" i="43"/>
  <c r="I68" i="43"/>
  <c r="I64" i="43"/>
  <c r="I57" i="43"/>
  <c r="I40" i="43"/>
  <c r="I43" i="43"/>
  <c r="I46" i="43"/>
  <c r="I49" i="43"/>
  <c r="I52" i="43"/>
  <c r="I55" i="43"/>
  <c r="J127" i="43"/>
  <c r="I124" i="43"/>
  <c r="I120" i="43"/>
  <c r="J113" i="43"/>
  <c r="J109" i="43"/>
  <c r="I106" i="43"/>
  <c r="J95" i="43"/>
  <c r="I92" i="43"/>
  <c r="I88" i="43"/>
  <c r="J81" i="43"/>
  <c r="J77" i="43"/>
  <c r="I74" i="43"/>
  <c r="J63" i="43"/>
  <c r="J150" i="43"/>
  <c r="I16" i="43"/>
  <c r="I19" i="43"/>
  <c r="I22" i="43"/>
  <c r="I25" i="43"/>
  <c r="I28" i="43"/>
  <c r="I31" i="43"/>
  <c r="I34" i="43"/>
  <c r="J37" i="43"/>
  <c r="J40" i="43"/>
  <c r="J43" i="43"/>
  <c r="J46" i="43"/>
  <c r="J49" i="43"/>
  <c r="J52" i="43"/>
  <c r="J55" i="43"/>
  <c r="I147" i="43"/>
  <c r="I144" i="43"/>
  <c r="I141" i="43"/>
  <c r="J130" i="43"/>
  <c r="I127" i="43"/>
  <c r="I123" i="43"/>
  <c r="J116" i="43"/>
  <c r="J112" i="43"/>
  <c r="I109" i="43"/>
  <c r="J98" i="43"/>
  <c r="I95" i="43"/>
  <c r="I91" i="43"/>
  <c r="J84" i="43"/>
  <c r="J80" i="43"/>
  <c r="I77" i="43"/>
  <c r="I63" i="43"/>
  <c r="I150" i="43"/>
  <c r="J56" i="43"/>
  <c r="J67" i="43"/>
  <c r="J75" i="43"/>
  <c r="J83" i="43"/>
  <c r="J91" i="43"/>
  <c r="J99" i="43"/>
  <c r="J107" i="43"/>
  <c r="J115" i="43"/>
  <c r="J123" i="43"/>
  <c r="J131" i="43"/>
  <c r="J139" i="43"/>
  <c r="J147" i="43"/>
  <c r="J50" i="43"/>
  <c r="J42" i="43"/>
  <c r="J34" i="43"/>
  <c r="J26" i="43"/>
  <c r="J18" i="43"/>
  <c r="J10" i="43"/>
  <c r="J59" i="43"/>
  <c r="J62" i="43"/>
  <c r="J70" i="43"/>
  <c r="J78" i="43"/>
  <c r="J86" i="43"/>
  <c r="J94" i="43"/>
  <c r="J102" i="43"/>
  <c r="J110" i="43"/>
  <c r="J118" i="43"/>
  <c r="J126" i="43"/>
  <c r="J134" i="43"/>
  <c r="J138" i="43"/>
  <c r="J124" i="43"/>
  <c r="J120" i="43"/>
  <c r="J106" i="43"/>
  <c r="J92" i="43"/>
  <c r="J88" i="43"/>
  <c r="J74" i="43"/>
  <c r="J144" i="43"/>
  <c r="J141" i="43"/>
  <c r="I138" i="43"/>
  <c r="J137" i="43"/>
  <c r="J133" i="43"/>
  <c r="I130" i="43"/>
  <c r="J119" i="43"/>
  <c r="I116" i="43"/>
  <c r="I112" i="43"/>
  <c r="J105" i="43"/>
  <c r="J101" i="43"/>
  <c r="I98" i="43"/>
  <c r="J87" i="43"/>
  <c r="I84" i="43"/>
  <c r="I80" i="43"/>
  <c r="J73" i="43"/>
  <c r="J69" i="43"/>
  <c r="J58" i="43"/>
  <c r="J21" i="43"/>
  <c r="J24" i="43"/>
  <c r="J27" i="43"/>
  <c r="J30" i="43"/>
  <c r="J33" i="43"/>
  <c r="J36" i="43"/>
  <c r="J39" i="43"/>
  <c r="I59" i="43"/>
  <c r="I62" i="43"/>
  <c r="I70" i="43"/>
  <c r="I78" i="43"/>
  <c r="I86" i="43"/>
  <c r="I94" i="43"/>
  <c r="I102" i="43"/>
  <c r="I110" i="43"/>
  <c r="I118" i="43"/>
  <c r="I126" i="43"/>
  <c r="I134" i="43"/>
  <c r="I142" i="43"/>
  <c r="I53" i="43"/>
  <c r="I45" i="43"/>
  <c r="I37" i="43"/>
  <c r="I29" i="43"/>
  <c r="I21" i="43"/>
  <c r="I13" i="43"/>
  <c r="I65" i="43"/>
  <c r="I73" i="43"/>
  <c r="I81" i="43"/>
  <c r="I89" i="43"/>
  <c r="I97" i="43"/>
  <c r="I105" i="43"/>
  <c r="I113" i="43"/>
  <c r="I121" i="43"/>
  <c r="I129" i="43"/>
  <c r="I137" i="43"/>
  <c r="J9" i="43"/>
  <c r="J12" i="43"/>
  <c r="J15" i="43"/>
  <c r="I10" i="43"/>
  <c r="J13" i="43"/>
  <c r="J16" i="43"/>
  <c r="J19" i="43"/>
  <c r="J22" i="43"/>
  <c r="J25" i="43"/>
  <c r="J28" i="43"/>
  <c r="J31" i="43"/>
  <c r="I32" i="43"/>
  <c r="I35" i="43"/>
  <c r="I38" i="43"/>
  <c r="I41" i="43"/>
  <c r="I44" i="43"/>
  <c r="I47" i="43"/>
  <c r="I50" i="43"/>
  <c r="J53" i="43"/>
  <c r="J149" i="43"/>
  <c r="J146" i="43"/>
  <c r="J143" i="43"/>
  <c r="J140" i="43"/>
  <c r="J136" i="43"/>
  <c r="I133" i="43"/>
  <c r="J122" i="43"/>
  <c r="I119" i="43"/>
  <c r="I115" i="43"/>
  <c r="J108" i="43"/>
  <c r="J104" i="43"/>
  <c r="I101" i="43"/>
  <c r="J90" i="43"/>
  <c r="I87" i="43"/>
  <c r="I83" i="43"/>
  <c r="J76" i="43"/>
  <c r="J72" i="43"/>
  <c r="I69" i="43"/>
  <c r="I58" i="43"/>
  <c r="D486" i="47"/>
  <c r="E486" i="47" l="1"/>
  <c r="B19" i="49"/>
  <c r="B20" i="49"/>
  <c r="D38" i="48" l="1"/>
  <c r="C38" i="48"/>
  <c r="AC37" i="46"/>
  <c r="AB37" i="46"/>
  <c r="AA37" i="46"/>
  <c r="R37" i="46"/>
  <c r="M37" i="46"/>
  <c r="L37" i="46"/>
  <c r="K37" i="46"/>
  <c r="AG36" i="46"/>
  <c r="AG37" i="46" s="1"/>
  <c r="AF36" i="46"/>
  <c r="AF37" i="46" s="1"/>
  <c r="AE36" i="46"/>
  <c r="AE37" i="46" s="1"/>
  <c r="AD36" i="46"/>
  <c r="AD37" i="46" s="1"/>
  <c r="AC36" i="46"/>
  <c r="AB36" i="46"/>
  <c r="AA36" i="46"/>
  <c r="Z36" i="46"/>
  <c r="Z37" i="46" s="1"/>
  <c r="Y36" i="46"/>
  <c r="Y37" i="46" s="1"/>
  <c r="X36" i="46"/>
  <c r="X37" i="46" s="1"/>
  <c r="W36" i="46"/>
  <c r="W37" i="46" s="1"/>
  <c r="V36" i="46"/>
  <c r="V37" i="46" s="1"/>
  <c r="U36" i="46"/>
  <c r="U37" i="46" s="1"/>
  <c r="T36" i="46"/>
  <c r="T37" i="46" s="1"/>
  <c r="S36" i="46"/>
  <c r="S37" i="46" s="1"/>
  <c r="R36" i="46"/>
  <c r="Q36" i="46"/>
  <c r="Q37" i="46" s="1"/>
  <c r="P36" i="46"/>
  <c r="P37" i="46" s="1"/>
  <c r="O36" i="46"/>
  <c r="O37" i="46" s="1"/>
  <c r="N36" i="46"/>
  <c r="N37" i="46" s="1"/>
  <c r="M36" i="46"/>
  <c r="L36" i="46"/>
  <c r="K36" i="46"/>
  <c r="J36" i="46"/>
  <c r="J37" i="46" s="1"/>
  <c r="I36" i="46"/>
  <c r="I37" i="46" s="1"/>
  <c r="H36" i="46"/>
  <c r="H37" i="46" s="1"/>
  <c r="G36" i="46"/>
  <c r="G37" i="46" s="1"/>
  <c r="F36" i="46"/>
  <c r="F37" i="46" s="1"/>
  <c r="E36" i="46"/>
  <c r="E37" i="46" s="1"/>
  <c r="D36" i="46"/>
  <c r="D37" i="46" s="1"/>
  <c r="C36" i="46"/>
  <c r="C37" i="46" s="1"/>
  <c r="B36" i="46"/>
  <c r="B37" i="46" s="1"/>
  <c r="AI35" i="46"/>
  <c r="AI34" i="46"/>
  <c r="AI33" i="46"/>
  <c r="AI32" i="46"/>
  <c r="AI31" i="46"/>
  <c r="AI30" i="46"/>
  <c r="AI29" i="46"/>
  <c r="AI28" i="46"/>
  <c r="AI27" i="46"/>
  <c r="AI26" i="46"/>
  <c r="AH21" i="46"/>
  <c r="AG21" i="46"/>
  <c r="AE21" i="46"/>
  <c r="Y21" i="46"/>
  <c r="W21" i="46"/>
  <c r="T21" i="46"/>
  <c r="S21" i="46"/>
  <c r="R21" i="46"/>
  <c r="Q21" i="46"/>
  <c r="O21" i="46"/>
  <c r="L21" i="46"/>
  <c r="K21" i="46"/>
  <c r="J21" i="46"/>
  <c r="I21" i="46"/>
  <c r="G21" i="46"/>
  <c r="D21" i="46"/>
  <c r="AH20" i="46"/>
  <c r="AG20" i="46"/>
  <c r="AF20" i="46"/>
  <c r="AF21" i="46" s="1"/>
  <c r="AE20" i="46"/>
  <c r="AD20" i="46"/>
  <c r="AD21" i="46" s="1"/>
  <c r="AC20" i="46"/>
  <c r="AC21" i="46" s="1"/>
  <c r="AB20" i="46"/>
  <c r="AB21" i="46" s="1"/>
  <c r="AA20" i="46"/>
  <c r="AA21" i="46" s="1"/>
  <c r="Z20" i="46"/>
  <c r="Z21" i="46" s="1"/>
  <c r="Y20" i="46"/>
  <c r="X20" i="46"/>
  <c r="X21" i="46" s="1"/>
  <c r="W20" i="46"/>
  <c r="V20" i="46"/>
  <c r="V21" i="46" s="1"/>
  <c r="U20" i="46"/>
  <c r="U21" i="46" s="1"/>
  <c r="T20" i="46"/>
  <c r="S20" i="46"/>
  <c r="R20" i="46"/>
  <c r="Q20" i="46"/>
  <c r="P20" i="46"/>
  <c r="P21" i="46" s="1"/>
  <c r="O20" i="46"/>
  <c r="N20" i="46"/>
  <c r="N21" i="46" s="1"/>
  <c r="M20" i="46"/>
  <c r="M21" i="46" s="1"/>
  <c r="L20" i="46"/>
  <c r="K20" i="46"/>
  <c r="J20" i="46"/>
  <c r="I20" i="46"/>
  <c r="H20" i="46"/>
  <c r="H21" i="46" s="1"/>
  <c r="G20" i="46"/>
  <c r="F20" i="46"/>
  <c r="F21" i="46" s="1"/>
  <c r="E20" i="46"/>
  <c r="E21" i="46" s="1"/>
  <c r="D20" i="46"/>
  <c r="C20" i="46"/>
  <c r="C21" i="46" s="1"/>
  <c r="B20" i="46"/>
  <c r="B21" i="46" s="1"/>
  <c r="AI21" i="46" s="1"/>
  <c r="AI19" i="46"/>
  <c r="AI18" i="46"/>
  <c r="AI17" i="46"/>
  <c r="AI16" i="46"/>
  <c r="AI15" i="46"/>
  <c r="AI14" i="46"/>
  <c r="AI13" i="46"/>
  <c r="AI12" i="46"/>
  <c r="AI11" i="46"/>
  <c r="AI10" i="46"/>
  <c r="A3" i="46"/>
  <c r="A2" i="46" s="1"/>
  <c r="A509" i="44"/>
  <c r="A508" i="44"/>
  <c r="A507" i="44"/>
  <c r="A506" i="44"/>
  <c r="A505" i="44"/>
  <c r="A504" i="44"/>
  <c r="A503" i="44"/>
  <c r="A502" i="44"/>
  <c r="A501" i="44"/>
  <c r="A500" i="44"/>
  <c r="A499" i="44"/>
  <c r="A498" i="44"/>
  <c r="A497" i="44"/>
  <c r="A496" i="44"/>
  <c r="A495" i="44"/>
  <c r="A494" i="44"/>
  <c r="A493" i="44"/>
  <c r="A492" i="44"/>
  <c r="A491" i="44"/>
  <c r="A490" i="44"/>
  <c r="A489" i="44"/>
  <c r="A488" i="44"/>
  <c r="A487" i="44"/>
  <c r="A486" i="44"/>
  <c r="A485" i="44"/>
  <c r="A484" i="44"/>
  <c r="A483" i="44"/>
  <c r="A482" i="44"/>
  <c r="A481" i="44"/>
  <c r="A480" i="44"/>
  <c r="A479" i="44"/>
  <c r="A478" i="44"/>
  <c r="A477" i="44"/>
  <c r="A476" i="44"/>
  <c r="A475" i="44"/>
  <c r="A474" i="44"/>
  <c r="A473" i="44"/>
  <c r="A472" i="44"/>
  <c r="A471" i="44"/>
  <c r="A470" i="44"/>
  <c r="A469" i="44"/>
  <c r="A468" i="44"/>
  <c r="A467" i="44"/>
  <c r="A466" i="44"/>
  <c r="A465" i="44"/>
  <c r="A464" i="44"/>
  <c r="A463" i="44"/>
  <c r="A462" i="44"/>
  <c r="A461" i="44"/>
  <c r="A460" i="44"/>
  <c r="A459" i="44"/>
  <c r="A458" i="44"/>
  <c r="A457" i="44"/>
  <c r="A456" i="44"/>
  <c r="A455" i="44"/>
  <c r="A454" i="44"/>
  <c r="A453" i="44"/>
  <c r="A452" i="44"/>
  <c r="A451" i="44"/>
  <c r="A450" i="44"/>
  <c r="A449" i="44"/>
  <c r="A448" i="44"/>
  <c r="A447" i="44"/>
  <c r="A446" i="44"/>
  <c r="A445" i="44"/>
  <c r="A444" i="44"/>
  <c r="A443" i="44"/>
  <c r="A442" i="44"/>
  <c r="A441" i="44"/>
  <c r="A440" i="44"/>
  <c r="A439" i="44"/>
  <c r="A438" i="44"/>
  <c r="A437" i="44"/>
  <c r="A436" i="44"/>
  <c r="A435" i="44"/>
  <c r="A434" i="44"/>
  <c r="A433" i="44"/>
  <c r="A432" i="44"/>
  <c r="A431" i="44"/>
  <c r="A430" i="44"/>
  <c r="A429" i="44"/>
  <c r="A428" i="44"/>
  <c r="A427" i="44"/>
  <c r="A426" i="44"/>
  <c r="A425" i="44"/>
  <c r="A424" i="44"/>
  <c r="A423" i="44"/>
  <c r="A422" i="44"/>
  <c r="A421" i="44"/>
  <c r="A420" i="44"/>
  <c r="A419" i="44"/>
  <c r="A418" i="44"/>
  <c r="A417" i="44"/>
  <c r="A416" i="44"/>
  <c r="A415" i="44"/>
  <c r="A414" i="44"/>
  <c r="A413" i="44"/>
  <c r="A412" i="44"/>
  <c r="A411" i="44"/>
  <c r="A410" i="44"/>
  <c r="A409" i="44"/>
  <c r="A408" i="44"/>
  <c r="A407" i="44"/>
  <c r="A406" i="44"/>
  <c r="A405" i="44"/>
  <c r="A404" i="44"/>
  <c r="A403" i="44"/>
  <c r="A402" i="44"/>
  <c r="A401" i="44"/>
  <c r="A400" i="44"/>
  <c r="A399" i="44"/>
  <c r="A398" i="44"/>
  <c r="A397" i="44"/>
  <c r="A396" i="44"/>
  <c r="A395" i="44"/>
  <c r="A394" i="44"/>
  <c r="A393" i="44"/>
  <c r="A392" i="44"/>
  <c r="A391" i="44"/>
  <c r="A390" i="44"/>
  <c r="A389" i="44"/>
  <c r="A388" i="44"/>
  <c r="A387" i="44"/>
  <c r="A386" i="44"/>
  <c r="A385" i="44"/>
  <c r="A384" i="44"/>
  <c r="A383" i="44"/>
  <c r="A382" i="44"/>
  <c r="A381" i="44"/>
  <c r="A380" i="44"/>
  <c r="A379" i="44"/>
  <c r="A378" i="44"/>
  <c r="A377" i="44"/>
  <c r="A376" i="44"/>
  <c r="A375" i="44"/>
  <c r="A374" i="44"/>
  <c r="A373" i="44"/>
  <c r="A372" i="44"/>
  <c r="A371" i="44"/>
  <c r="A370" i="44"/>
  <c r="A369" i="44"/>
  <c r="A368" i="44"/>
  <c r="A367" i="44"/>
  <c r="A366" i="44"/>
  <c r="A365" i="44"/>
  <c r="A364" i="44"/>
  <c r="A363" i="44"/>
  <c r="A362" i="44"/>
  <c r="A361" i="44"/>
  <c r="A360" i="44"/>
  <c r="A359" i="44"/>
  <c r="A358" i="44"/>
  <c r="A357" i="44"/>
  <c r="A356" i="44"/>
  <c r="A355" i="44"/>
  <c r="A354" i="44"/>
  <c r="A353" i="44"/>
  <c r="A352" i="44"/>
  <c r="A351" i="44"/>
  <c r="A350" i="44"/>
  <c r="A349" i="44"/>
  <c r="A348" i="44"/>
  <c r="A347" i="44"/>
  <c r="A346" i="44"/>
  <c r="A345" i="44"/>
  <c r="A344" i="44"/>
  <c r="A343" i="44"/>
  <c r="A342" i="44"/>
  <c r="A341" i="44"/>
  <c r="A340" i="44"/>
  <c r="A339" i="44"/>
  <c r="A338" i="44"/>
  <c r="A337" i="44"/>
  <c r="A336" i="44"/>
  <c r="A335" i="44"/>
  <c r="A334" i="44"/>
  <c r="A333" i="44"/>
  <c r="A332" i="44"/>
  <c r="A331" i="44"/>
  <c r="A330" i="44"/>
  <c r="A329" i="44"/>
  <c r="A328" i="44"/>
  <c r="A327" i="44"/>
  <c r="A326" i="44"/>
  <c r="A325" i="44"/>
  <c r="A324" i="44"/>
  <c r="A323" i="44"/>
  <c r="A322" i="44"/>
  <c r="A321" i="44"/>
  <c r="A320" i="44"/>
  <c r="A319" i="44"/>
  <c r="A318" i="44"/>
  <c r="A317" i="44"/>
  <c r="A316" i="44"/>
  <c r="A315" i="44"/>
  <c r="A314" i="44"/>
  <c r="A313" i="44"/>
  <c r="A312" i="44"/>
  <c r="A311" i="44"/>
  <c r="A310" i="44"/>
  <c r="A309" i="44"/>
  <c r="A308" i="44"/>
  <c r="A307" i="44"/>
  <c r="A306" i="44"/>
  <c r="A305" i="44"/>
  <c r="A304" i="44"/>
  <c r="A303" i="44"/>
  <c r="A302" i="44"/>
  <c r="A301" i="44"/>
  <c r="A300" i="44"/>
  <c r="A299" i="44"/>
  <c r="A298" i="44"/>
  <c r="A297" i="44"/>
  <c r="A296" i="44"/>
  <c r="A295" i="44"/>
  <c r="A294" i="44"/>
  <c r="A293" i="44"/>
  <c r="A292" i="44"/>
  <c r="A291" i="44"/>
  <c r="A290" i="44"/>
  <c r="A289" i="44"/>
  <c r="A288" i="44"/>
  <c r="A287" i="44"/>
  <c r="A286" i="44"/>
  <c r="A285" i="44"/>
  <c r="A284" i="44"/>
  <c r="A283" i="44"/>
  <c r="A282" i="44"/>
  <c r="A281" i="44"/>
  <c r="A280" i="44"/>
  <c r="A279" i="44"/>
  <c r="A278" i="44"/>
  <c r="A277" i="44"/>
  <c r="A276" i="44"/>
  <c r="A275" i="44"/>
  <c r="A274" i="44"/>
  <c r="A273" i="44"/>
  <c r="A272" i="44"/>
  <c r="A271" i="44"/>
  <c r="A270" i="44"/>
  <c r="A269" i="44"/>
  <c r="A268" i="44"/>
  <c r="A267" i="44"/>
  <c r="A266" i="44"/>
  <c r="A265" i="44"/>
  <c r="A264" i="44"/>
  <c r="A263" i="44"/>
  <c r="A262" i="44"/>
  <c r="A261" i="44"/>
  <c r="A260" i="44"/>
  <c r="A259" i="44"/>
  <c r="A258" i="44"/>
  <c r="A257" i="44"/>
  <c r="A256" i="44"/>
  <c r="A255" i="44"/>
  <c r="A254" i="44"/>
  <c r="A253" i="44"/>
  <c r="A252" i="44"/>
  <c r="A251" i="44"/>
  <c r="A250" i="44"/>
  <c r="A249" i="44"/>
  <c r="A248" i="44"/>
  <c r="A247" i="44"/>
  <c r="A246" i="44"/>
  <c r="A245" i="44"/>
  <c r="A244" i="44"/>
  <c r="A243" i="44"/>
  <c r="A242" i="44"/>
  <c r="A241" i="44"/>
  <c r="A240" i="44"/>
  <c r="A239" i="44"/>
  <c r="A238" i="44"/>
  <c r="A237" i="44"/>
  <c r="A236" i="44"/>
  <c r="A235" i="44"/>
  <c r="A234" i="44"/>
  <c r="A233" i="44"/>
  <c r="A232" i="44"/>
  <c r="A231" i="44"/>
  <c r="A230" i="44"/>
  <c r="A229" i="44"/>
  <c r="A228" i="44"/>
  <c r="A227" i="44"/>
  <c r="A226" i="44"/>
  <c r="A225" i="44"/>
  <c r="A224" i="44"/>
  <c r="A223" i="44"/>
  <c r="A222" i="44"/>
  <c r="A221" i="44"/>
  <c r="A220" i="44"/>
  <c r="A219" i="44"/>
  <c r="A218" i="44"/>
  <c r="A217" i="44"/>
  <c r="A216" i="44"/>
  <c r="A215" i="44"/>
  <c r="A214" i="44"/>
  <c r="A213" i="44"/>
  <c r="A212" i="44"/>
  <c r="A211" i="44"/>
  <c r="A210" i="44"/>
  <c r="A209" i="44"/>
  <c r="A208" i="44"/>
  <c r="A207" i="44"/>
  <c r="A206" i="44"/>
  <c r="A205" i="44"/>
  <c r="A204" i="44"/>
  <c r="A203" i="44"/>
  <c r="A202" i="44"/>
  <c r="A201" i="44"/>
  <c r="A200" i="44"/>
  <c r="A199" i="44"/>
  <c r="A198" i="44"/>
  <c r="A197" i="44"/>
  <c r="A196" i="44"/>
  <c r="A195" i="44"/>
  <c r="A194" i="44"/>
  <c r="A193" i="44"/>
  <c r="A192" i="44"/>
  <c r="A191" i="44"/>
  <c r="A190" i="44"/>
  <c r="A189" i="44"/>
  <c r="A188" i="44"/>
  <c r="A187" i="44"/>
  <c r="A186" i="44"/>
  <c r="A185" i="44"/>
  <c r="A184" i="44"/>
  <c r="A183" i="44"/>
  <c r="A182" i="44"/>
  <c r="A181" i="44"/>
  <c r="A180" i="44"/>
  <c r="A179" i="44"/>
  <c r="A178" i="44"/>
  <c r="A177" i="44"/>
  <c r="A176" i="44"/>
  <c r="A175" i="44"/>
  <c r="A174" i="44"/>
  <c r="A173" i="44"/>
  <c r="A172" i="44"/>
  <c r="A171" i="44"/>
  <c r="A170" i="44"/>
  <c r="A169" i="44"/>
  <c r="A168" i="44"/>
  <c r="A167" i="44"/>
  <c r="A166" i="44"/>
  <c r="A165" i="44"/>
  <c r="A164" i="44"/>
  <c r="A163" i="44"/>
  <c r="A162" i="44"/>
  <c r="A161" i="44"/>
  <c r="A160" i="44"/>
  <c r="A159" i="44"/>
  <c r="A158" i="44"/>
  <c r="A157" i="44"/>
  <c r="A156" i="44"/>
  <c r="A155" i="44"/>
  <c r="A154" i="44"/>
  <c r="A153" i="44"/>
  <c r="A152" i="44"/>
  <c r="A151" i="44"/>
  <c r="A150" i="44"/>
  <c r="A149" i="44"/>
  <c r="A148" i="44"/>
  <c r="A147" i="44"/>
  <c r="A146" i="44"/>
  <c r="A145" i="44"/>
  <c r="A144" i="44"/>
  <c r="A143" i="44"/>
  <c r="A142" i="44"/>
  <c r="A141" i="44"/>
  <c r="A140" i="44"/>
  <c r="A139" i="44"/>
  <c r="A138" i="44"/>
  <c r="A137" i="44"/>
  <c r="A136" i="44"/>
  <c r="A135" i="44"/>
  <c r="A134" i="44"/>
  <c r="A133" i="44"/>
  <c r="A132" i="44"/>
  <c r="A131" i="44"/>
  <c r="A130" i="44"/>
  <c r="A129" i="44"/>
  <c r="A128" i="44"/>
  <c r="A127" i="44"/>
  <c r="A126" i="44"/>
  <c r="A125" i="44"/>
  <c r="A124" i="44"/>
  <c r="A123" i="44"/>
  <c r="A122" i="44"/>
  <c r="A121" i="44"/>
  <c r="A120" i="44"/>
  <c r="A119" i="44"/>
  <c r="A118" i="44"/>
  <c r="A117" i="44"/>
  <c r="A116" i="44"/>
  <c r="A115" i="44"/>
  <c r="A114" i="44"/>
  <c r="A113" i="44"/>
  <c r="A112" i="44"/>
  <c r="A111" i="44"/>
  <c r="A110" i="44"/>
  <c r="A109" i="44"/>
  <c r="A108" i="44"/>
  <c r="A107" i="44"/>
  <c r="A106" i="44"/>
  <c r="A105" i="44"/>
  <c r="A104" i="44"/>
  <c r="A103" i="44"/>
  <c r="A102" i="44"/>
  <c r="A101" i="44"/>
  <c r="A100" i="44"/>
  <c r="A99" i="44"/>
  <c r="A98" i="44"/>
  <c r="A97" i="44"/>
  <c r="K96" i="44"/>
  <c r="A96" i="44"/>
  <c r="L95" i="44"/>
  <c r="K95" i="44"/>
  <c r="A95" i="44"/>
  <c r="L94" i="44"/>
  <c r="K94" i="44"/>
  <c r="A94" i="44"/>
  <c r="L93" i="44"/>
  <c r="K93" i="44"/>
  <c r="A93" i="44"/>
  <c r="L92" i="44"/>
  <c r="K92" i="44"/>
  <c r="A92" i="44"/>
  <c r="L91" i="44"/>
  <c r="K91" i="44"/>
  <c r="A91" i="44"/>
  <c r="L90" i="44"/>
  <c r="K90" i="44"/>
  <c r="A90" i="44"/>
  <c r="L89" i="44"/>
  <c r="K89" i="44"/>
  <c r="A89" i="44"/>
  <c r="L88" i="44"/>
  <c r="K88" i="44"/>
  <c r="A88" i="44"/>
  <c r="L87" i="44"/>
  <c r="K87" i="44"/>
  <c r="A87" i="44"/>
  <c r="L86" i="44"/>
  <c r="K86" i="44"/>
  <c r="A86" i="44"/>
  <c r="L85" i="44"/>
  <c r="K85" i="44"/>
  <c r="A85" i="44"/>
  <c r="L84" i="44"/>
  <c r="K84" i="44"/>
  <c r="A84" i="44"/>
  <c r="L83" i="44"/>
  <c r="K83" i="44"/>
  <c r="A83" i="44"/>
  <c r="L82" i="44"/>
  <c r="K82" i="44"/>
  <c r="A82" i="44"/>
  <c r="L81" i="44"/>
  <c r="K81" i="44"/>
  <c r="A81" i="44"/>
  <c r="L80" i="44"/>
  <c r="K80" i="44"/>
  <c r="A80" i="44"/>
  <c r="L79" i="44"/>
  <c r="K79" i="44"/>
  <c r="A79" i="44"/>
  <c r="L78" i="44"/>
  <c r="K78" i="44"/>
  <c r="A78" i="44"/>
  <c r="L77" i="44"/>
  <c r="K77" i="44"/>
  <c r="A77" i="44"/>
  <c r="L76" i="44"/>
  <c r="K76" i="44"/>
  <c r="A76" i="44"/>
  <c r="L75" i="44"/>
  <c r="K75" i="44"/>
  <c r="A75" i="44"/>
  <c r="L74" i="44"/>
  <c r="K74" i="44"/>
  <c r="A74" i="44"/>
  <c r="L73" i="44"/>
  <c r="K73" i="44"/>
  <c r="A73" i="44"/>
  <c r="L72" i="44"/>
  <c r="K72" i="44"/>
  <c r="A72" i="44"/>
  <c r="L71" i="44"/>
  <c r="K71" i="44"/>
  <c r="A71" i="44"/>
  <c r="L70" i="44"/>
  <c r="K70" i="44"/>
  <c r="A70" i="44"/>
  <c r="L69" i="44"/>
  <c r="K69" i="44"/>
  <c r="A69" i="44"/>
  <c r="L68" i="44"/>
  <c r="K68" i="44"/>
  <c r="A68" i="44"/>
  <c r="L67" i="44"/>
  <c r="K67" i="44"/>
  <c r="A67" i="44"/>
  <c r="L66" i="44"/>
  <c r="K66" i="44"/>
  <c r="A66" i="44"/>
  <c r="L65" i="44"/>
  <c r="K65" i="44"/>
  <c r="A65" i="44"/>
  <c r="L64" i="44"/>
  <c r="K64" i="44"/>
  <c r="A64" i="44"/>
  <c r="L63" i="44"/>
  <c r="K63" i="44"/>
  <c r="A63" i="44"/>
  <c r="L62" i="44"/>
  <c r="K62" i="44"/>
  <c r="A62" i="44"/>
  <c r="L61" i="44"/>
  <c r="K61" i="44"/>
  <c r="A61" i="44"/>
  <c r="L60" i="44"/>
  <c r="K60" i="44"/>
  <c r="A60" i="44"/>
  <c r="L59" i="44"/>
  <c r="K59" i="44"/>
  <c r="A59" i="44"/>
  <c r="L58" i="44"/>
  <c r="K58" i="44"/>
  <c r="A58" i="44"/>
  <c r="L57" i="44"/>
  <c r="K57" i="44"/>
  <c r="A57" i="44"/>
  <c r="L56" i="44"/>
  <c r="K56" i="44"/>
  <c r="A56" i="44"/>
  <c r="L55" i="44"/>
  <c r="K55" i="44"/>
  <c r="A55" i="44"/>
  <c r="L54" i="44"/>
  <c r="K54" i="44"/>
  <c r="A54" i="44"/>
  <c r="L53" i="44"/>
  <c r="K53" i="44"/>
  <c r="A53" i="44"/>
  <c r="L52" i="44"/>
  <c r="K52" i="44"/>
  <c r="A52" i="44"/>
  <c r="L51" i="44"/>
  <c r="K51" i="44"/>
  <c r="A51" i="44"/>
  <c r="L50" i="44"/>
  <c r="K50" i="44"/>
  <c r="A50" i="44"/>
  <c r="L49" i="44"/>
  <c r="K49" i="44"/>
  <c r="A49" i="44"/>
  <c r="L48" i="44"/>
  <c r="K48" i="44"/>
  <c r="A48" i="44"/>
  <c r="L47" i="44"/>
  <c r="K47" i="44"/>
  <c r="A47" i="44"/>
  <c r="L46" i="44"/>
  <c r="K46" i="44"/>
  <c r="A46" i="44"/>
  <c r="L45" i="44"/>
  <c r="K45" i="44"/>
  <c r="A45" i="44"/>
  <c r="L44" i="44"/>
  <c r="K44" i="44"/>
  <c r="A44" i="44"/>
  <c r="L43" i="44"/>
  <c r="K43" i="44"/>
  <c r="A43" i="44"/>
  <c r="L42" i="44"/>
  <c r="K42" i="44"/>
  <c r="A42" i="44"/>
  <c r="L41" i="44"/>
  <c r="K41" i="44"/>
  <c r="A41" i="44"/>
  <c r="L40" i="44"/>
  <c r="K40" i="44"/>
  <c r="A40" i="44"/>
  <c r="L39" i="44"/>
  <c r="K39" i="44"/>
  <c r="A39" i="44"/>
  <c r="L38" i="44"/>
  <c r="K38" i="44"/>
  <c r="A38" i="44"/>
  <c r="L37" i="44"/>
  <c r="K37" i="44"/>
  <c r="A37" i="44"/>
  <c r="L36" i="44"/>
  <c r="K36" i="44"/>
  <c r="A36" i="44"/>
  <c r="L35" i="44"/>
  <c r="K35" i="44"/>
  <c r="A35" i="44"/>
  <c r="L34" i="44"/>
  <c r="K34" i="44"/>
  <c r="A34" i="44"/>
  <c r="L33" i="44"/>
  <c r="K33" i="44"/>
  <c r="A33" i="44"/>
  <c r="L32" i="44"/>
  <c r="K32" i="44"/>
  <c r="A32" i="44"/>
  <c r="L31" i="44"/>
  <c r="K31" i="44"/>
  <c r="A31" i="44"/>
  <c r="L30" i="44"/>
  <c r="K30" i="44"/>
  <c r="A30" i="44"/>
  <c r="L29" i="44"/>
  <c r="K29" i="44"/>
  <c r="A29" i="44"/>
  <c r="L28" i="44"/>
  <c r="K28" i="44"/>
  <c r="A28" i="44"/>
  <c r="L27" i="44"/>
  <c r="K27" i="44"/>
  <c r="A27" i="44"/>
  <c r="L26" i="44"/>
  <c r="K26" i="44"/>
  <c r="A26" i="44"/>
  <c r="L25" i="44"/>
  <c r="K25" i="44"/>
  <c r="A25" i="44"/>
  <c r="L24" i="44"/>
  <c r="K24" i="44"/>
  <c r="A24" i="44"/>
  <c r="L23" i="44"/>
  <c r="K23" i="44"/>
  <c r="A23" i="44"/>
  <c r="L22" i="44"/>
  <c r="K22" i="44"/>
  <c r="A22" i="44"/>
  <c r="L21" i="44"/>
  <c r="K21" i="44"/>
  <c r="A21" i="44"/>
  <c r="L20" i="44"/>
  <c r="K20" i="44"/>
  <c r="A20" i="44"/>
  <c r="L19" i="44"/>
  <c r="K19" i="44"/>
  <c r="A19" i="44"/>
  <c r="L18" i="44"/>
  <c r="K18" i="44"/>
  <c r="A18" i="44"/>
  <c r="L17" i="44"/>
  <c r="K17" i="44"/>
  <c r="A17" i="44"/>
  <c r="L16" i="44"/>
  <c r="K16" i="44"/>
  <c r="A16" i="44"/>
  <c r="L15" i="44"/>
  <c r="K15" i="44"/>
  <c r="A15" i="44"/>
  <c r="L14" i="44"/>
  <c r="K14" i="44"/>
  <c r="A14" i="44"/>
  <c r="L13" i="44"/>
  <c r="K13" i="44"/>
  <c r="A13" i="44"/>
  <c r="L12" i="44"/>
  <c r="K12" i="44"/>
  <c r="A12" i="44"/>
  <c r="L11" i="44"/>
  <c r="K11" i="44"/>
  <c r="A11" i="44"/>
  <c r="L10" i="44"/>
  <c r="K10" i="44"/>
  <c r="A10" i="44"/>
  <c r="L9" i="44"/>
  <c r="K9" i="44"/>
  <c r="A9" i="44"/>
  <c r="N1" i="44"/>
  <c r="N2" i="44" s="1"/>
  <c r="B59" i="43"/>
  <c r="A59" i="43"/>
  <c r="B58" i="43"/>
  <c r="A58" i="43"/>
  <c r="B57" i="43"/>
  <c r="A57" i="43"/>
  <c r="B56" i="43"/>
  <c r="A56" i="43"/>
  <c r="B55" i="43"/>
  <c r="A55" i="43"/>
  <c r="B54" i="43"/>
  <c r="A54" i="43"/>
  <c r="B53" i="43"/>
  <c r="A53" i="43"/>
  <c r="B52" i="43"/>
  <c r="A52" i="43"/>
  <c r="B51" i="43"/>
  <c r="A51" i="43"/>
  <c r="B50" i="43"/>
  <c r="A50" i="43"/>
  <c r="B49" i="43"/>
  <c r="A49" i="43"/>
  <c r="B48" i="43"/>
  <c r="A48" i="43"/>
  <c r="B47" i="43"/>
  <c r="A47" i="43"/>
  <c r="B46" i="43"/>
  <c r="A46" i="43"/>
  <c r="B45" i="43"/>
  <c r="A45" i="43"/>
  <c r="B44" i="43"/>
  <c r="A44" i="43"/>
  <c r="B43" i="43"/>
  <c r="A43" i="43"/>
  <c r="B42" i="43"/>
  <c r="A42" i="43"/>
  <c r="B41" i="43"/>
  <c r="A41" i="43"/>
  <c r="B40" i="43"/>
  <c r="A40" i="43"/>
  <c r="B39" i="43"/>
  <c r="A39" i="43"/>
  <c r="B38" i="43"/>
  <c r="A38" i="43"/>
  <c r="B37" i="43"/>
  <c r="A37" i="43"/>
  <c r="B36" i="43"/>
  <c r="A36" i="43"/>
  <c r="B35" i="43"/>
  <c r="A35" i="43"/>
  <c r="B34" i="43"/>
  <c r="A34" i="43"/>
  <c r="B33" i="43"/>
  <c r="A33" i="43"/>
  <c r="B32" i="43"/>
  <c r="A32" i="43"/>
  <c r="B31" i="43"/>
  <c r="A31" i="43"/>
  <c r="B30" i="43"/>
  <c r="A30" i="43"/>
  <c r="B29" i="43"/>
  <c r="A29" i="43"/>
  <c r="B28" i="43"/>
  <c r="A28" i="43"/>
  <c r="B27" i="43"/>
  <c r="A27" i="43"/>
  <c r="B26" i="43"/>
  <c r="A26" i="43"/>
  <c r="B25" i="43"/>
  <c r="A25" i="43"/>
  <c r="B24" i="43"/>
  <c r="A24" i="43"/>
  <c r="B23" i="43"/>
  <c r="A23" i="43"/>
  <c r="B22" i="43"/>
  <c r="A22" i="43"/>
  <c r="B21" i="43"/>
  <c r="A21" i="43"/>
  <c r="B20" i="43"/>
  <c r="A20" i="43"/>
  <c r="B19" i="43"/>
  <c r="A19" i="43"/>
  <c r="B18" i="43"/>
  <c r="A18" i="43"/>
  <c r="B17" i="43"/>
  <c r="A17" i="43"/>
  <c r="B16" i="43"/>
  <c r="A16" i="43"/>
  <c r="B15" i="43"/>
  <c r="A15" i="43"/>
  <c r="B14" i="43"/>
  <c r="A14" i="43"/>
  <c r="B13" i="43"/>
  <c r="A13" i="43"/>
  <c r="B12" i="43"/>
  <c r="A12" i="43"/>
  <c r="B11" i="43"/>
  <c r="A11" i="43"/>
  <c r="B10" i="43"/>
  <c r="A10" i="43"/>
  <c r="B9" i="43"/>
  <c r="A9" i="43"/>
  <c r="N16" i="42"/>
  <c r="M16" i="42"/>
  <c r="L16" i="42"/>
  <c r="K16" i="42"/>
  <c r="J16" i="42"/>
  <c r="I16" i="42"/>
  <c r="H16" i="42"/>
  <c r="G16" i="42"/>
  <c r="F16" i="42"/>
  <c r="E16" i="42"/>
  <c r="D16" i="42"/>
  <c r="C16" i="42"/>
  <c r="B16" i="42"/>
  <c r="A509" i="41"/>
  <c r="A508" i="41"/>
  <c r="A507" i="41"/>
  <c r="A506" i="41"/>
  <c r="A505" i="41"/>
  <c r="A504" i="41"/>
  <c r="A503" i="41"/>
  <c r="A502" i="41"/>
  <c r="A501" i="41"/>
  <c r="A500" i="41"/>
  <c r="A499" i="41"/>
  <c r="A498" i="41"/>
  <c r="A497" i="41"/>
  <c r="A496" i="41"/>
  <c r="A495" i="41"/>
  <c r="A494" i="41"/>
  <c r="A493" i="41"/>
  <c r="A492" i="41"/>
  <c r="A491" i="41"/>
  <c r="A490" i="41"/>
  <c r="A489" i="41"/>
  <c r="A488" i="41"/>
  <c r="A487" i="41"/>
  <c r="A486" i="41"/>
  <c r="A485" i="41"/>
  <c r="A484" i="41"/>
  <c r="A483" i="41"/>
  <c r="A482" i="41"/>
  <c r="A481" i="41"/>
  <c r="A480" i="41"/>
  <c r="A479" i="41"/>
  <c r="A478" i="41"/>
  <c r="A477" i="41"/>
  <c r="A476" i="41"/>
  <c r="A475" i="41"/>
  <c r="A474" i="41"/>
  <c r="A473" i="41"/>
  <c r="A472" i="41"/>
  <c r="A471" i="41"/>
  <c r="A470" i="41"/>
  <c r="A469" i="41"/>
  <c r="A468" i="41"/>
  <c r="A467" i="41"/>
  <c r="A466" i="41"/>
  <c r="A465" i="41"/>
  <c r="A464" i="41"/>
  <c r="A463" i="41"/>
  <c r="A462" i="41"/>
  <c r="A461" i="41"/>
  <c r="A460" i="41"/>
  <c r="A459" i="41"/>
  <c r="A458" i="41"/>
  <c r="A457" i="41"/>
  <c r="A456" i="41"/>
  <c r="A455" i="41"/>
  <c r="A454" i="41"/>
  <c r="A453" i="41"/>
  <c r="A452" i="41"/>
  <c r="A451" i="41"/>
  <c r="A450" i="41"/>
  <c r="A449" i="41"/>
  <c r="A448" i="41"/>
  <c r="A447" i="41"/>
  <c r="A446" i="41"/>
  <c r="A445" i="41"/>
  <c r="A444" i="41"/>
  <c r="A443" i="41"/>
  <c r="A442" i="41"/>
  <c r="A441" i="41"/>
  <c r="A440" i="41"/>
  <c r="A439" i="41"/>
  <c r="A438" i="41"/>
  <c r="A437" i="41"/>
  <c r="A436" i="41"/>
  <c r="A435" i="41"/>
  <c r="A434" i="41"/>
  <c r="A433" i="41"/>
  <c r="A432" i="41"/>
  <c r="A431" i="41"/>
  <c r="A430" i="41"/>
  <c r="A429" i="41"/>
  <c r="A428" i="41"/>
  <c r="A427" i="41"/>
  <c r="A426" i="41"/>
  <c r="A425" i="41"/>
  <c r="A424" i="41"/>
  <c r="A423" i="41"/>
  <c r="A422" i="41"/>
  <c r="A421" i="41"/>
  <c r="A420" i="41"/>
  <c r="A419" i="41"/>
  <c r="A418" i="41"/>
  <c r="A417" i="41"/>
  <c r="A416" i="41"/>
  <c r="A415" i="41"/>
  <c r="A414" i="41"/>
  <c r="A413" i="41"/>
  <c r="A412" i="41"/>
  <c r="A411" i="41"/>
  <c r="A410" i="41"/>
  <c r="A409" i="41"/>
  <c r="A408" i="41"/>
  <c r="A407" i="41"/>
  <c r="A406" i="41"/>
  <c r="A405" i="41"/>
  <c r="A404" i="41"/>
  <c r="A403" i="41"/>
  <c r="A402" i="41"/>
  <c r="A401" i="41"/>
  <c r="A400" i="41"/>
  <c r="A399" i="41"/>
  <c r="A398" i="41"/>
  <c r="A397" i="41"/>
  <c r="A396" i="41"/>
  <c r="A395" i="41"/>
  <c r="A394" i="41"/>
  <c r="A393" i="41"/>
  <c r="A392" i="41"/>
  <c r="A391" i="41"/>
  <c r="A390" i="41"/>
  <c r="A389" i="41"/>
  <c r="A388" i="41"/>
  <c r="A387" i="41"/>
  <c r="A386" i="41"/>
  <c r="A385" i="41"/>
  <c r="A384" i="41"/>
  <c r="A383" i="41"/>
  <c r="A382" i="41"/>
  <c r="A381" i="41"/>
  <c r="A380" i="41"/>
  <c r="A379" i="41"/>
  <c r="A378" i="41"/>
  <c r="A377" i="41"/>
  <c r="A376" i="41"/>
  <c r="A375" i="41"/>
  <c r="A374" i="41"/>
  <c r="A373" i="41"/>
  <c r="A372" i="41"/>
  <c r="A371" i="41"/>
  <c r="A370" i="41"/>
  <c r="A369" i="41"/>
  <c r="A368" i="41"/>
  <c r="A367" i="41"/>
  <c r="A366" i="41"/>
  <c r="A365" i="41"/>
  <c r="A364" i="41"/>
  <c r="A363" i="41"/>
  <c r="A362" i="41"/>
  <c r="A361" i="41"/>
  <c r="A360" i="41"/>
  <c r="A359" i="41"/>
  <c r="A358" i="41"/>
  <c r="A357" i="41"/>
  <c r="A356" i="41"/>
  <c r="A355" i="41"/>
  <c r="A354" i="41"/>
  <c r="A353" i="41"/>
  <c r="A352" i="41"/>
  <c r="A351" i="41"/>
  <c r="A350" i="41"/>
  <c r="A349" i="41"/>
  <c r="A348" i="41"/>
  <c r="A347" i="41"/>
  <c r="A346" i="41"/>
  <c r="A345" i="41"/>
  <c r="A344" i="41"/>
  <c r="A343" i="41"/>
  <c r="A342" i="41"/>
  <c r="A341" i="41"/>
  <c r="A340" i="41"/>
  <c r="A339" i="41"/>
  <c r="A338" i="41"/>
  <c r="A337" i="41"/>
  <c r="A336" i="41"/>
  <c r="A335" i="41"/>
  <c r="A334" i="41"/>
  <c r="A333" i="41"/>
  <c r="A332" i="41"/>
  <c r="A331" i="41"/>
  <c r="A330" i="41"/>
  <c r="A329" i="41"/>
  <c r="A328" i="41"/>
  <c r="A327" i="41"/>
  <c r="A326" i="41"/>
  <c r="A325" i="41"/>
  <c r="A324" i="41"/>
  <c r="A323" i="41"/>
  <c r="A322" i="41"/>
  <c r="A321" i="41"/>
  <c r="A320" i="41"/>
  <c r="A319" i="41"/>
  <c r="A318" i="41"/>
  <c r="A317" i="41"/>
  <c r="A316" i="41"/>
  <c r="A315" i="41"/>
  <c r="A314" i="41"/>
  <c r="A313" i="41"/>
  <c r="A312" i="41"/>
  <c r="A311" i="41"/>
  <c r="A310" i="41"/>
  <c r="A309" i="41"/>
  <c r="A308" i="41"/>
  <c r="A307" i="41"/>
  <c r="A306" i="41"/>
  <c r="A305" i="41"/>
  <c r="A304" i="41"/>
  <c r="A303" i="41"/>
  <c r="A302" i="41"/>
  <c r="A301" i="41"/>
  <c r="A300" i="41"/>
  <c r="A299" i="41"/>
  <c r="A298" i="41"/>
  <c r="A297" i="41"/>
  <c r="A296" i="41"/>
  <c r="A295" i="41"/>
  <c r="A294" i="41"/>
  <c r="A293" i="41"/>
  <c r="A292" i="41"/>
  <c r="A291" i="41"/>
  <c r="A290" i="41"/>
  <c r="A289" i="41"/>
  <c r="A288" i="41"/>
  <c r="A287" i="41"/>
  <c r="A286" i="41"/>
  <c r="A285" i="41"/>
  <c r="A284" i="41"/>
  <c r="A283" i="41"/>
  <c r="A282" i="41"/>
  <c r="A281" i="41"/>
  <c r="A280" i="41"/>
  <c r="A279" i="41"/>
  <c r="A278" i="41"/>
  <c r="A277" i="41"/>
  <c r="A276" i="41"/>
  <c r="A275" i="41"/>
  <c r="A274" i="41"/>
  <c r="A273" i="41"/>
  <c r="A272" i="41"/>
  <c r="A271" i="41"/>
  <c r="A270" i="41"/>
  <c r="A269" i="41"/>
  <c r="A268" i="41"/>
  <c r="A267" i="41"/>
  <c r="A266" i="41"/>
  <c r="A265" i="41"/>
  <c r="A264" i="41"/>
  <c r="A263" i="41"/>
  <c r="A262" i="41"/>
  <c r="A261" i="41"/>
  <c r="A260" i="41"/>
  <c r="A259" i="41"/>
  <c r="A258" i="41"/>
  <c r="A257" i="41"/>
  <c r="A256" i="41"/>
  <c r="A255" i="41"/>
  <c r="A254" i="41"/>
  <c r="A253" i="41"/>
  <c r="A252" i="41"/>
  <c r="A251" i="41"/>
  <c r="A250" i="41"/>
  <c r="A249" i="41"/>
  <c r="A248" i="41"/>
  <c r="A247" i="41"/>
  <c r="A246" i="41"/>
  <c r="A245" i="41"/>
  <c r="A244" i="41"/>
  <c r="A243" i="41"/>
  <c r="A242" i="41"/>
  <c r="A241" i="41"/>
  <c r="A240" i="41"/>
  <c r="A239" i="41"/>
  <c r="A238" i="41"/>
  <c r="A237" i="41"/>
  <c r="A236" i="41"/>
  <c r="A235" i="41"/>
  <c r="A234" i="41"/>
  <c r="A233" i="41"/>
  <c r="A232" i="41"/>
  <c r="A231" i="41"/>
  <c r="A230" i="41"/>
  <c r="A229" i="41"/>
  <c r="A228" i="41"/>
  <c r="A227" i="41"/>
  <c r="A226" i="41"/>
  <c r="A225" i="41"/>
  <c r="A224" i="41"/>
  <c r="A223" i="41"/>
  <c r="A222" i="41"/>
  <c r="A221" i="41"/>
  <c r="A220" i="41"/>
  <c r="A219" i="41"/>
  <c r="A218" i="41"/>
  <c r="A217" i="41"/>
  <c r="A216" i="41"/>
  <c r="A215" i="41"/>
  <c r="A214" i="41"/>
  <c r="A213" i="41"/>
  <c r="A212" i="41"/>
  <c r="A211" i="41"/>
  <c r="A210" i="41"/>
  <c r="A209" i="41"/>
  <c r="A208" i="41"/>
  <c r="A207" i="41"/>
  <c r="A206" i="41"/>
  <c r="A205" i="41"/>
  <c r="A204" i="41"/>
  <c r="A203" i="41"/>
  <c r="A202" i="41"/>
  <c r="A201" i="41"/>
  <c r="A200" i="41"/>
  <c r="A199" i="41"/>
  <c r="A198" i="41"/>
  <c r="A197" i="41"/>
  <c r="A196" i="41"/>
  <c r="A195" i="41"/>
  <c r="A194" i="41"/>
  <c r="A193" i="41"/>
  <c r="A192" i="41"/>
  <c r="A191" i="41"/>
  <c r="A190" i="41"/>
  <c r="A189" i="41"/>
  <c r="A188" i="41"/>
  <c r="A187" i="41"/>
  <c r="A186" i="41"/>
  <c r="A185" i="41"/>
  <c r="A184" i="41"/>
  <c r="A183" i="41"/>
  <c r="A182" i="41"/>
  <c r="A181" i="41"/>
  <c r="A180" i="41"/>
  <c r="A179" i="41"/>
  <c r="A178" i="41"/>
  <c r="A177" i="41"/>
  <c r="A176" i="41"/>
  <c r="A175" i="41"/>
  <c r="A174" i="41"/>
  <c r="A173" i="41"/>
  <c r="A172" i="41"/>
  <c r="A171" i="41"/>
  <c r="A170" i="41"/>
  <c r="A169" i="41"/>
  <c r="A168" i="41"/>
  <c r="A167" i="41"/>
  <c r="A166" i="41"/>
  <c r="A165" i="41"/>
  <c r="A164" i="41"/>
  <c r="A163" i="41"/>
  <c r="A162" i="41"/>
  <c r="A161" i="41"/>
  <c r="A160" i="41"/>
  <c r="A159" i="41"/>
  <c r="A158" i="41"/>
  <c r="A157" i="41"/>
  <c r="A156" i="41"/>
  <c r="A155" i="41"/>
  <c r="A154" i="41"/>
  <c r="A153" i="41"/>
  <c r="A152" i="41"/>
  <c r="A151" i="41"/>
  <c r="A150" i="41"/>
  <c r="A149" i="41"/>
  <c r="A148" i="41"/>
  <c r="A147" i="41"/>
  <c r="A146" i="41"/>
  <c r="A145" i="41"/>
  <c r="A144" i="41"/>
  <c r="A143" i="41"/>
  <c r="A142" i="41"/>
  <c r="A141" i="41"/>
  <c r="A140" i="41"/>
  <c r="A139" i="41"/>
  <c r="A138" i="41"/>
  <c r="A137" i="41"/>
  <c r="A136" i="41"/>
  <c r="A135" i="41"/>
  <c r="A134" i="41"/>
  <c r="A133" i="41"/>
  <c r="A132" i="41"/>
  <c r="A131" i="41"/>
  <c r="A130" i="41"/>
  <c r="A129" i="41"/>
  <c r="A128" i="41"/>
  <c r="A127" i="41"/>
  <c r="A126" i="41"/>
  <c r="A125" i="41"/>
  <c r="A124" i="41"/>
  <c r="A123" i="41"/>
  <c r="A122" i="41"/>
  <c r="A121" i="41"/>
  <c r="L120" i="41"/>
  <c r="K120" i="41"/>
  <c r="A120" i="41"/>
  <c r="L119" i="41"/>
  <c r="K119" i="41"/>
  <c r="A119" i="41"/>
  <c r="L118" i="41"/>
  <c r="K118" i="41"/>
  <c r="A118" i="41"/>
  <c r="L117" i="41"/>
  <c r="K117" i="41"/>
  <c r="A117" i="41"/>
  <c r="L116" i="41"/>
  <c r="K116" i="41"/>
  <c r="A116" i="41"/>
  <c r="L115" i="41"/>
  <c r="K115" i="41"/>
  <c r="A115" i="41"/>
  <c r="L114" i="41"/>
  <c r="K114" i="41"/>
  <c r="A114" i="41"/>
  <c r="L113" i="41"/>
  <c r="K113" i="41"/>
  <c r="A113" i="41"/>
  <c r="L112" i="41"/>
  <c r="K112" i="41"/>
  <c r="A112" i="41"/>
  <c r="L111" i="41"/>
  <c r="K111" i="41"/>
  <c r="A111" i="41"/>
  <c r="L110" i="41"/>
  <c r="K110" i="41"/>
  <c r="A110" i="41"/>
  <c r="L109" i="41"/>
  <c r="K109" i="41"/>
  <c r="A109" i="41"/>
  <c r="L108" i="41"/>
  <c r="K108" i="41"/>
  <c r="A108" i="41"/>
  <c r="L107" i="41"/>
  <c r="K107" i="41"/>
  <c r="A107" i="41"/>
  <c r="L106" i="41"/>
  <c r="K106" i="41"/>
  <c r="A106" i="41"/>
  <c r="L105" i="41"/>
  <c r="K105" i="41"/>
  <c r="A105" i="41"/>
  <c r="L104" i="41"/>
  <c r="K104" i="41"/>
  <c r="A104" i="41"/>
  <c r="L103" i="41"/>
  <c r="K103" i="41"/>
  <c r="A103" i="41"/>
  <c r="L102" i="41"/>
  <c r="K102" i="41"/>
  <c r="A102" i="41"/>
  <c r="L101" i="41"/>
  <c r="K101" i="41"/>
  <c r="A101" i="41"/>
  <c r="L100" i="41"/>
  <c r="K100" i="41"/>
  <c r="A100" i="41"/>
  <c r="L99" i="41"/>
  <c r="K99" i="41"/>
  <c r="A99" i="41"/>
  <c r="L98" i="41"/>
  <c r="K98" i="41"/>
  <c r="A98" i="41"/>
  <c r="L97" i="41"/>
  <c r="K97" i="41"/>
  <c r="A97" i="41"/>
  <c r="L96" i="41"/>
  <c r="K96" i="41"/>
  <c r="A96" i="41"/>
  <c r="L95" i="41"/>
  <c r="K95" i="41"/>
  <c r="A95" i="41"/>
  <c r="L94" i="41"/>
  <c r="K94" i="41"/>
  <c r="A94" i="41"/>
  <c r="L93" i="41"/>
  <c r="K93" i="41"/>
  <c r="A93" i="41"/>
  <c r="L92" i="41"/>
  <c r="K92" i="41"/>
  <c r="A92" i="41"/>
  <c r="L91" i="41"/>
  <c r="K91" i="41"/>
  <c r="A91" i="41"/>
  <c r="L90" i="41"/>
  <c r="K90" i="41"/>
  <c r="A90" i="41"/>
  <c r="L89" i="41"/>
  <c r="K89" i="41"/>
  <c r="A89" i="41"/>
  <c r="L88" i="41"/>
  <c r="K88" i="41"/>
  <c r="A88" i="41"/>
  <c r="L87" i="41"/>
  <c r="K87" i="41"/>
  <c r="A87" i="41"/>
  <c r="L86" i="41"/>
  <c r="K86" i="41"/>
  <c r="A86" i="41"/>
  <c r="L85" i="41"/>
  <c r="K85" i="41"/>
  <c r="A85" i="41"/>
  <c r="L84" i="41"/>
  <c r="K84" i="41"/>
  <c r="A84" i="41"/>
  <c r="L83" i="41"/>
  <c r="K83" i="41"/>
  <c r="A83" i="41"/>
  <c r="L82" i="41"/>
  <c r="K82" i="41"/>
  <c r="A82" i="41"/>
  <c r="L81" i="41"/>
  <c r="K81" i="41"/>
  <c r="A81" i="41"/>
  <c r="L80" i="41"/>
  <c r="K80" i="41"/>
  <c r="A80" i="41"/>
  <c r="L79" i="41"/>
  <c r="K79" i="41"/>
  <c r="A79" i="41"/>
  <c r="L78" i="41"/>
  <c r="K78" i="41"/>
  <c r="A78" i="41"/>
  <c r="L77" i="41"/>
  <c r="K77" i="41"/>
  <c r="A77" i="41"/>
  <c r="L76" i="41"/>
  <c r="K76" i="41"/>
  <c r="A76" i="41"/>
  <c r="L75" i="41"/>
  <c r="K75" i="41"/>
  <c r="A75" i="41"/>
  <c r="L74" i="41"/>
  <c r="K74" i="41"/>
  <c r="A74" i="41"/>
  <c r="L73" i="41"/>
  <c r="K73" i="41"/>
  <c r="A73" i="41"/>
  <c r="L72" i="41"/>
  <c r="K72" i="41"/>
  <c r="A72" i="41"/>
  <c r="L71" i="41"/>
  <c r="K71" i="41"/>
  <c r="A71" i="41"/>
  <c r="L70" i="41"/>
  <c r="K70" i="41"/>
  <c r="A70" i="41"/>
  <c r="L69" i="41"/>
  <c r="K69" i="41"/>
  <c r="A69" i="41"/>
  <c r="L68" i="41"/>
  <c r="K68" i="41"/>
  <c r="A68" i="41"/>
  <c r="L67" i="41"/>
  <c r="K67" i="41"/>
  <c r="A67" i="41"/>
  <c r="L66" i="41"/>
  <c r="K66" i="41"/>
  <c r="A66" i="41"/>
  <c r="L65" i="41"/>
  <c r="K65" i="41"/>
  <c r="A65" i="41"/>
  <c r="L64" i="41"/>
  <c r="K64" i="41"/>
  <c r="A64" i="41"/>
  <c r="L63" i="41"/>
  <c r="K63" i="41"/>
  <c r="A63" i="41"/>
  <c r="L62" i="41"/>
  <c r="K62" i="41"/>
  <c r="A62" i="41"/>
  <c r="L61" i="41"/>
  <c r="K61" i="41"/>
  <c r="A61" i="41"/>
  <c r="L60" i="41"/>
  <c r="K60" i="41"/>
  <c r="A60" i="41"/>
  <c r="L59" i="41"/>
  <c r="K59" i="41"/>
  <c r="A59" i="41"/>
  <c r="L58" i="41"/>
  <c r="K58" i="41"/>
  <c r="A58" i="41"/>
  <c r="L57" i="41"/>
  <c r="K57" i="41"/>
  <c r="A57" i="41"/>
  <c r="L56" i="41"/>
  <c r="K56" i="41"/>
  <c r="A56" i="41"/>
  <c r="L55" i="41"/>
  <c r="K55" i="41"/>
  <c r="A55" i="41"/>
  <c r="L54" i="41"/>
  <c r="K54" i="41"/>
  <c r="A54" i="41"/>
  <c r="L53" i="41"/>
  <c r="K53" i="41"/>
  <c r="A53" i="41"/>
  <c r="L52" i="41"/>
  <c r="K52" i="41"/>
  <c r="A52" i="41"/>
  <c r="L51" i="41"/>
  <c r="K51" i="41"/>
  <c r="A51" i="41"/>
  <c r="L50" i="41"/>
  <c r="K50" i="41"/>
  <c r="A50" i="41"/>
  <c r="L49" i="41"/>
  <c r="K49" i="41"/>
  <c r="A49" i="41"/>
  <c r="L48" i="41"/>
  <c r="K48" i="41"/>
  <c r="A48" i="41"/>
  <c r="L47" i="41"/>
  <c r="K47" i="41"/>
  <c r="A47" i="41"/>
  <c r="L46" i="41"/>
  <c r="K46" i="41"/>
  <c r="A46" i="41"/>
  <c r="L45" i="41"/>
  <c r="K45" i="41"/>
  <c r="A45" i="41"/>
  <c r="L44" i="41"/>
  <c r="K44" i="41"/>
  <c r="A44" i="41"/>
  <c r="L43" i="41"/>
  <c r="K43" i="41"/>
  <c r="A43" i="41"/>
  <c r="L42" i="41"/>
  <c r="K42" i="41"/>
  <c r="A42" i="41"/>
  <c r="L41" i="41"/>
  <c r="K41" i="41"/>
  <c r="A41" i="41"/>
  <c r="L40" i="41"/>
  <c r="K40" i="41"/>
  <c r="A40" i="41"/>
  <c r="L39" i="41"/>
  <c r="K39" i="41"/>
  <c r="A39" i="41"/>
  <c r="L38" i="41"/>
  <c r="K38" i="41"/>
  <c r="A38" i="41"/>
  <c r="L37" i="41"/>
  <c r="K37" i="41"/>
  <c r="A37" i="41"/>
  <c r="L36" i="41"/>
  <c r="K36" i="41"/>
  <c r="A36" i="41"/>
  <c r="L35" i="41"/>
  <c r="K35" i="41"/>
  <c r="A35" i="41"/>
  <c r="L34" i="41"/>
  <c r="K34" i="41"/>
  <c r="A34" i="41"/>
  <c r="L33" i="41"/>
  <c r="K33" i="41"/>
  <c r="A33" i="41"/>
  <c r="L32" i="41"/>
  <c r="K32" i="41"/>
  <c r="A32" i="41"/>
  <c r="L31" i="41"/>
  <c r="K31" i="41"/>
  <c r="A31" i="41"/>
  <c r="L30" i="41"/>
  <c r="K30" i="41"/>
  <c r="A30" i="41"/>
  <c r="L29" i="41"/>
  <c r="K29" i="41"/>
  <c r="A29" i="41"/>
  <c r="L28" i="41"/>
  <c r="K28" i="41"/>
  <c r="A28" i="41"/>
  <c r="L27" i="41"/>
  <c r="K27" i="41"/>
  <c r="A27" i="41"/>
  <c r="L26" i="41"/>
  <c r="K26" i="41"/>
  <c r="A26" i="41"/>
  <c r="L25" i="41"/>
  <c r="K25" i="41"/>
  <c r="A25" i="41"/>
  <c r="L24" i="41"/>
  <c r="K24" i="41"/>
  <c r="A24" i="41"/>
  <c r="L23" i="41"/>
  <c r="K23" i="41"/>
  <c r="A23" i="41"/>
  <c r="L22" i="41"/>
  <c r="K22" i="41"/>
  <c r="A22" i="41"/>
  <c r="L21" i="41"/>
  <c r="K21" i="41"/>
  <c r="A21" i="41"/>
  <c r="L20" i="41"/>
  <c r="K20" i="41"/>
  <c r="A20" i="41"/>
  <c r="L19" i="41"/>
  <c r="K19" i="41"/>
  <c r="A19" i="41"/>
  <c r="L18" i="41"/>
  <c r="K18" i="41"/>
  <c r="A18" i="41"/>
  <c r="L17" i="41"/>
  <c r="K17" i="41"/>
  <c r="A17" i="41"/>
  <c r="L16" i="41"/>
  <c r="K16" i="41"/>
  <c r="A16" i="41"/>
  <c r="L15" i="41"/>
  <c r="K15" i="41"/>
  <c r="A15" i="41"/>
  <c r="L14" i="41"/>
  <c r="K14" i="41"/>
  <c r="A14" i="41"/>
  <c r="L13" i="41"/>
  <c r="K13" i="41"/>
  <c r="A13" i="41"/>
  <c r="L12" i="41"/>
  <c r="K12" i="41"/>
  <c r="A12" i="41"/>
  <c r="L11" i="41"/>
  <c r="K11" i="41"/>
  <c r="A11" i="41"/>
  <c r="L10" i="41"/>
  <c r="K10" i="41"/>
  <c r="A10" i="41"/>
  <c r="L9" i="41"/>
  <c r="K9" i="41"/>
  <c r="A9" i="41"/>
  <c r="N1" i="41"/>
  <c r="N2" i="41" s="1"/>
  <c r="A507" i="40"/>
  <c r="A506" i="40"/>
  <c r="A505" i="40"/>
  <c r="A504" i="40"/>
  <c r="A503" i="40"/>
  <c r="A502" i="40"/>
  <c r="A501" i="40"/>
  <c r="A500" i="40"/>
  <c r="A499" i="40"/>
  <c r="A498" i="40"/>
  <c r="A497" i="40"/>
  <c r="A496" i="40"/>
  <c r="A495" i="40"/>
  <c r="A494" i="40"/>
  <c r="A493" i="40"/>
  <c r="A492" i="40"/>
  <c r="A491" i="40"/>
  <c r="A490" i="40"/>
  <c r="A489" i="40"/>
  <c r="A488" i="40"/>
  <c r="A487" i="40"/>
  <c r="A486" i="40"/>
  <c r="A485" i="40"/>
  <c r="A484" i="40"/>
  <c r="A483" i="40"/>
  <c r="A482" i="40"/>
  <c r="A481" i="40"/>
  <c r="A480" i="40"/>
  <c r="A479" i="40"/>
  <c r="A478" i="40"/>
  <c r="A477" i="40"/>
  <c r="A476" i="40"/>
  <c r="A475" i="40"/>
  <c r="A474" i="40"/>
  <c r="A473" i="40"/>
  <c r="A472" i="40"/>
  <c r="A471" i="40"/>
  <c r="A470" i="40"/>
  <c r="A469" i="40"/>
  <c r="A468" i="40"/>
  <c r="A467" i="40"/>
  <c r="A466" i="40"/>
  <c r="A465" i="40"/>
  <c r="A464" i="40"/>
  <c r="A463" i="40"/>
  <c r="A462" i="40"/>
  <c r="A461" i="40"/>
  <c r="A460" i="40"/>
  <c r="A459" i="40"/>
  <c r="A458" i="40"/>
  <c r="A457" i="40"/>
  <c r="A456" i="40"/>
  <c r="A455" i="40"/>
  <c r="A454" i="40"/>
  <c r="A453" i="40"/>
  <c r="A452" i="40"/>
  <c r="A451" i="40"/>
  <c r="A450" i="40"/>
  <c r="A449" i="40"/>
  <c r="A448" i="40"/>
  <c r="A447" i="40"/>
  <c r="A446" i="40"/>
  <c r="A445" i="40"/>
  <c r="A444" i="40"/>
  <c r="A443" i="40"/>
  <c r="A442" i="40"/>
  <c r="A441" i="40"/>
  <c r="A440" i="40"/>
  <c r="A439" i="40"/>
  <c r="A438" i="40"/>
  <c r="A437" i="40"/>
  <c r="A436" i="40"/>
  <c r="A435" i="40"/>
  <c r="A434" i="40"/>
  <c r="A433" i="40"/>
  <c r="A432" i="40"/>
  <c r="A431" i="40"/>
  <c r="A430" i="40"/>
  <c r="A429" i="40"/>
  <c r="A428" i="40"/>
  <c r="A427" i="40"/>
  <c r="A426" i="40"/>
  <c r="A425" i="40"/>
  <c r="A424" i="40"/>
  <c r="A423" i="40"/>
  <c r="A422" i="40"/>
  <c r="A421" i="40"/>
  <c r="A420" i="40"/>
  <c r="A419" i="40"/>
  <c r="A418" i="40"/>
  <c r="A417" i="40"/>
  <c r="A416" i="40"/>
  <c r="A415" i="40"/>
  <c r="A414" i="40"/>
  <c r="A413" i="40"/>
  <c r="A412" i="40"/>
  <c r="A411" i="40"/>
  <c r="A410" i="40"/>
  <c r="A409" i="40"/>
  <c r="A408" i="40"/>
  <c r="A407" i="40"/>
  <c r="A406" i="40"/>
  <c r="A405" i="40"/>
  <c r="A404" i="40"/>
  <c r="A403" i="40"/>
  <c r="A402" i="40"/>
  <c r="A401" i="40"/>
  <c r="A400" i="40"/>
  <c r="A399" i="40"/>
  <c r="A398" i="40"/>
  <c r="A397" i="40"/>
  <c r="A396" i="40"/>
  <c r="A395" i="40"/>
  <c r="A394" i="40"/>
  <c r="A393" i="40"/>
  <c r="A392" i="40"/>
  <c r="A391" i="40"/>
  <c r="A390" i="40"/>
  <c r="A389" i="40"/>
  <c r="A388" i="40"/>
  <c r="A387" i="40"/>
  <c r="A386" i="40"/>
  <c r="A385" i="40"/>
  <c r="A384" i="40"/>
  <c r="A383" i="40"/>
  <c r="A382" i="40"/>
  <c r="A381" i="40"/>
  <c r="A380" i="40"/>
  <c r="A379" i="40"/>
  <c r="A378" i="40"/>
  <c r="A377" i="40"/>
  <c r="A376" i="40"/>
  <c r="A375" i="40"/>
  <c r="A374" i="40"/>
  <c r="A373" i="40"/>
  <c r="A372" i="40"/>
  <c r="A371" i="40"/>
  <c r="A370" i="40"/>
  <c r="A369" i="40"/>
  <c r="A368" i="40"/>
  <c r="A367" i="40"/>
  <c r="A366" i="40"/>
  <c r="A365" i="40"/>
  <c r="A364" i="40"/>
  <c r="A363" i="40"/>
  <c r="A362" i="40"/>
  <c r="A361" i="40"/>
  <c r="A360" i="40"/>
  <c r="A359" i="40"/>
  <c r="A358" i="40"/>
  <c r="A357" i="40"/>
  <c r="A356" i="40"/>
  <c r="A355" i="40"/>
  <c r="A354" i="40"/>
  <c r="A353" i="40"/>
  <c r="A352" i="40"/>
  <c r="A351" i="40"/>
  <c r="A350" i="40"/>
  <c r="A349" i="40"/>
  <c r="A348" i="40"/>
  <c r="A347" i="40"/>
  <c r="A346" i="40"/>
  <c r="A345" i="40"/>
  <c r="A344" i="40"/>
  <c r="A343" i="40"/>
  <c r="A342" i="40"/>
  <c r="A341" i="40"/>
  <c r="A340" i="40"/>
  <c r="A339" i="40"/>
  <c r="A338" i="40"/>
  <c r="A337" i="40"/>
  <c r="A336" i="40"/>
  <c r="A335" i="40"/>
  <c r="A334" i="40"/>
  <c r="A333" i="40"/>
  <c r="A332" i="40"/>
  <c r="A331" i="40"/>
  <c r="A330" i="40"/>
  <c r="A329" i="40"/>
  <c r="A328" i="40"/>
  <c r="A327" i="40"/>
  <c r="A326" i="40"/>
  <c r="A325" i="40"/>
  <c r="A324" i="40"/>
  <c r="A323" i="40"/>
  <c r="A322" i="40"/>
  <c r="A321" i="40"/>
  <c r="A320" i="40"/>
  <c r="A319" i="40"/>
  <c r="A318" i="40"/>
  <c r="A317" i="40"/>
  <c r="A316" i="40"/>
  <c r="A315" i="40"/>
  <c r="A314" i="40"/>
  <c r="A313" i="40"/>
  <c r="A312" i="40"/>
  <c r="A311" i="40"/>
  <c r="A310" i="40"/>
  <c r="A309" i="40"/>
  <c r="A308" i="40"/>
  <c r="A307" i="40"/>
  <c r="A306" i="40"/>
  <c r="A305" i="40"/>
  <c r="A304" i="40"/>
  <c r="A303" i="40"/>
  <c r="A302" i="40"/>
  <c r="A301" i="40"/>
  <c r="A300" i="40"/>
  <c r="A299" i="40"/>
  <c r="A298" i="40"/>
  <c r="A297" i="40"/>
  <c r="A296" i="40"/>
  <c r="A295" i="40"/>
  <c r="A294" i="40"/>
  <c r="A293" i="40"/>
  <c r="A292" i="40"/>
  <c r="A291" i="40"/>
  <c r="A290" i="40"/>
  <c r="A289" i="40"/>
  <c r="A288" i="40"/>
  <c r="A287" i="40"/>
  <c r="A286" i="40"/>
  <c r="A285" i="40"/>
  <c r="A284" i="40"/>
  <c r="A283" i="40"/>
  <c r="A282" i="40"/>
  <c r="A281" i="40"/>
  <c r="A280" i="40"/>
  <c r="A279" i="40"/>
  <c r="A278" i="40"/>
  <c r="A277" i="40"/>
  <c r="A276" i="40"/>
  <c r="A275" i="40"/>
  <c r="A274" i="40"/>
  <c r="A273" i="40"/>
  <c r="A272" i="40"/>
  <c r="A271" i="40"/>
  <c r="A270" i="40"/>
  <c r="A269" i="40"/>
  <c r="A268" i="40"/>
  <c r="A267" i="40"/>
  <c r="A266" i="40"/>
  <c r="A265" i="40"/>
  <c r="A264" i="40"/>
  <c r="A263" i="40"/>
  <c r="A262" i="40"/>
  <c r="A261" i="40"/>
  <c r="A260" i="40"/>
  <c r="A259" i="40"/>
  <c r="A258" i="40"/>
  <c r="A257" i="40"/>
  <c r="A256" i="40"/>
  <c r="A255" i="40"/>
  <c r="A254" i="40"/>
  <c r="A253" i="40"/>
  <c r="A252" i="40"/>
  <c r="A251" i="40"/>
  <c r="A250" i="40"/>
  <c r="A249" i="40"/>
  <c r="A248" i="40"/>
  <c r="A247" i="40"/>
  <c r="A246" i="40"/>
  <c r="A245" i="40"/>
  <c r="A244" i="40"/>
  <c r="A243" i="40"/>
  <c r="A242" i="40"/>
  <c r="A241" i="40"/>
  <c r="A240" i="40"/>
  <c r="A239" i="40"/>
  <c r="A238" i="40"/>
  <c r="A237" i="40"/>
  <c r="A236" i="40"/>
  <c r="A235" i="40"/>
  <c r="A234" i="40"/>
  <c r="A233" i="40"/>
  <c r="A232" i="40"/>
  <c r="A231" i="40"/>
  <c r="A230" i="40"/>
  <c r="A229" i="40"/>
  <c r="A228" i="40"/>
  <c r="A227" i="40"/>
  <c r="A226" i="40"/>
  <c r="A225" i="40"/>
  <c r="A224" i="40"/>
  <c r="A223" i="40"/>
  <c r="A222" i="40"/>
  <c r="A221" i="40"/>
  <c r="A220" i="40"/>
  <c r="A219" i="40"/>
  <c r="A218" i="40"/>
  <c r="A217" i="40"/>
  <c r="A216" i="40"/>
  <c r="A215" i="40"/>
  <c r="A214" i="40"/>
  <c r="A213" i="40"/>
  <c r="A212" i="40"/>
  <c r="A211" i="40"/>
  <c r="A210" i="40"/>
  <c r="A209" i="40"/>
  <c r="A208" i="40"/>
  <c r="A207" i="40"/>
  <c r="A206" i="40"/>
  <c r="A205" i="40"/>
  <c r="A204" i="40"/>
  <c r="A203" i="40"/>
  <c r="A202" i="40"/>
  <c r="A201" i="40"/>
  <c r="A200" i="40"/>
  <c r="A199" i="40"/>
  <c r="A198" i="40"/>
  <c r="A197" i="40"/>
  <c r="A196" i="40"/>
  <c r="A195" i="40"/>
  <c r="A194" i="40"/>
  <c r="A193" i="40"/>
  <c r="A192" i="40"/>
  <c r="A191" i="40"/>
  <c r="A190" i="40"/>
  <c r="A189" i="40"/>
  <c r="A188" i="40"/>
  <c r="A187" i="40"/>
  <c r="A186" i="40"/>
  <c r="A185" i="40"/>
  <c r="A184" i="40"/>
  <c r="A183" i="40"/>
  <c r="A182" i="40"/>
  <c r="A181" i="40"/>
  <c r="A180" i="40"/>
  <c r="A179" i="40"/>
  <c r="A178" i="40"/>
  <c r="A177" i="40"/>
  <c r="A176" i="40"/>
  <c r="A175" i="40"/>
  <c r="A174" i="40"/>
  <c r="A173" i="40"/>
  <c r="A172" i="40"/>
  <c r="A171" i="40"/>
  <c r="A170" i="40"/>
  <c r="A169" i="40"/>
  <c r="A168" i="40"/>
  <c r="A167" i="40"/>
  <c r="A166" i="40"/>
  <c r="A165" i="40"/>
  <c r="A164" i="40"/>
  <c r="A163" i="40"/>
  <c r="A162" i="40"/>
  <c r="A161" i="40"/>
  <c r="A160" i="40"/>
  <c r="A159" i="40"/>
  <c r="A158" i="40"/>
  <c r="A157" i="40"/>
  <c r="A156" i="40"/>
  <c r="A155" i="40"/>
  <c r="A154" i="40"/>
  <c r="A153" i="40"/>
  <c r="A152" i="40"/>
  <c r="A151" i="40"/>
  <c r="A150" i="40"/>
  <c r="A149" i="40"/>
  <c r="A148" i="40"/>
  <c r="A147" i="40"/>
  <c r="A146" i="40"/>
  <c r="A145" i="40"/>
  <c r="A144" i="40"/>
  <c r="A143" i="40"/>
  <c r="A142" i="40"/>
  <c r="A141" i="40"/>
  <c r="A140" i="40"/>
  <c r="A139" i="40"/>
  <c r="A138" i="40"/>
  <c r="A137" i="40"/>
  <c r="A136" i="40"/>
  <c r="A135" i="40"/>
  <c r="A134" i="40"/>
  <c r="A133" i="40"/>
  <c r="A132" i="40"/>
  <c r="A131" i="40"/>
  <c r="A130" i="40"/>
  <c r="A129" i="40"/>
  <c r="A128" i="40"/>
  <c r="A127" i="40"/>
  <c r="A126" i="40"/>
  <c r="A125" i="40"/>
  <c r="A124" i="40"/>
  <c r="A123" i="40"/>
  <c r="A122" i="40"/>
  <c r="A121" i="40"/>
  <c r="A120" i="40"/>
  <c r="A119" i="40"/>
  <c r="A118" i="40"/>
  <c r="A117" i="40"/>
  <c r="A116" i="40"/>
  <c r="A115" i="40"/>
  <c r="A114" i="40"/>
  <c r="A113" i="40"/>
  <c r="A112" i="40"/>
  <c r="A111" i="40"/>
  <c r="A110" i="40"/>
  <c r="A109" i="40"/>
  <c r="A108" i="40"/>
  <c r="A107" i="40"/>
  <c r="A106" i="40"/>
  <c r="A105" i="40"/>
  <c r="A104" i="40"/>
  <c r="A103" i="40"/>
  <c r="A102" i="40"/>
  <c r="A101" i="40"/>
  <c r="A100" i="40"/>
  <c r="A99" i="40"/>
  <c r="A98" i="40"/>
  <c r="A97" i="40"/>
  <c r="A96" i="40"/>
  <c r="A95" i="40"/>
  <c r="A94" i="40"/>
  <c r="A93" i="40"/>
  <c r="A92" i="40"/>
  <c r="A91" i="40"/>
  <c r="A90" i="40"/>
  <c r="A89" i="40"/>
  <c r="A88" i="40"/>
  <c r="A87" i="40"/>
  <c r="A86" i="40"/>
  <c r="A85" i="40"/>
  <c r="A84" i="40"/>
  <c r="A83" i="40"/>
  <c r="A82" i="40"/>
  <c r="A81" i="40"/>
  <c r="A80" i="40"/>
  <c r="A79" i="40"/>
  <c r="A78" i="40"/>
  <c r="A77" i="40"/>
  <c r="A76" i="40"/>
  <c r="A75" i="40"/>
  <c r="A74" i="40"/>
  <c r="A73" i="40"/>
  <c r="A72" i="40"/>
  <c r="A71" i="40"/>
  <c r="E70" i="40"/>
  <c r="A70" i="40"/>
  <c r="E69" i="40"/>
  <c r="A69" i="40"/>
  <c r="E68" i="40"/>
  <c r="A68" i="40"/>
  <c r="E67" i="40"/>
  <c r="A67" i="40"/>
  <c r="E66" i="40"/>
  <c r="A66" i="40"/>
  <c r="E65" i="40"/>
  <c r="A65" i="40"/>
  <c r="E64" i="40"/>
  <c r="A64" i="40"/>
  <c r="E63" i="40"/>
  <c r="A63" i="40"/>
  <c r="E62" i="40"/>
  <c r="A62" i="40"/>
  <c r="E61" i="40"/>
  <c r="A61" i="40"/>
  <c r="E60" i="40"/>
  <c r="A60" i="40"/>
  <c r="E59" i="40"/>
  <c r="A59" i="40"/>
  <c r="E58" i="40"/>
  <c r="A58" i="40"/>
  <c r="E57" i="40"/>
  <c r="A57" i="40"/>
  <c r="E56" i="40"/>
  <c r="A56" i="40"/>
  <c r="E55" i="40"/>
  <c r="A55" i="40"/>
  <c r="E54" i="40"/>
  <c r="A54" i="40"/>
  <c r="E53" i="40"/>
  <c r="A53" i="40"/>
  <c r="E52" i="40"/>
  <c r="A52" i="40"/>
  <c r="E51" i="40"/>
  <c r="A51" i="40"/>
  <c r="E50" i="40"/>
  <c r="A50" i="40"/>
  <c r="E49" i="40"/>
  <c r="A49" i="40"/>
  <c r="E48" i="40"/>
  <c r="A48" i="40"/>
  <c r="E47" i="40"/>
  <c r="A47" i="40"/>
  <c r="E46" i="40"/>
  <c r="A46" i="40"/>
  <c r="E45" i="40"/>
  <c r="A45" i="40"/>
  <c r="E44" i="40"/>
  <c r="A44" i="40"/>
  <c r="E43" i="40"/>
  <c r="A43" i="40"/>
  <c r="E42" i="40"/>
  <c r="A42" i="40"/>
  <c r="E41" i="40"/>
  <c r="A41" i="40"/>
  <c r="E40" i="40"/>
  <c r="A40" i="40"/>
  <c r="E39" i="40"/>
  <c r="A39" i="40"/>
  <c r="E38" i="40"/>
  <c r="A38" i="40"/>
  <c r="E37" i="40"/>
  <c r="A37" i="40"/>
  <c r="E36" i="40"/>
  <c r="A36" i="40"/>
  <c r="E35" i="40"/>
  <c r="A35" i="40"/>
  <c r="E34" i="40"/>
  <c r="A34" i="40"/>
  <c r="E33" i="40"/>
  <c r="A33" i="40"/>
  <c r="E32" i="40"/>
  <c r="A32" i="40"/>
  <c r="E31" i="40"/>
  <c r="A31" i="40"/>
  <c r="E30" i="40"/>
  <c r="A30" i="40"/>
  <c r="E29" i="40"/>
  <c r="A29" i="40"/>
  <c r="E28" i="40"/>
  <c r="A28" i="40"/>
  <c r="E27" i="40"/>
  <c r="A27" i="40"/>
  <c r="E26" i="40"/>
  <c r="A26" i="40"/>
  <c r="E25" i="40"/>
  <c r="A25" i="40"/>
  <c r="E24" i="40"/>
  <c r="A24" i="40"/>
  <c r="E23" i="40"/>
  <c r="A23" i="40"/>
  <c r="E22" i="40"/>
  <c r="A22" i="40"/>
  <c r="E21" i="40"/>
  <c r="A21" i="40"/>
  <c r="E20" i="40"/>
  <c r="A20" i="40"/>
  <c r="E19" i="40"/>
  <c r="A19" i="40"/>
  <c r="E18" i="40"/>
  <c r="A18" i="40"/>
  <c r="E17" i="40"/>
  <c r="A17" i="40"/>
  <c r="E16" i="40"/>
  <c r="A16" i="40"/>
  <c r="E15" i="40"/>
  <c r="A15" i="40"/>
  <c r="E14" i="40"/>
  <c r="A14" i="40"/>
  <c r="E13" i="40"/>
  <c r="A13" i="40"/>
  <c r="E12" i="40"/>
  <c r="A12" i="40"/>
  <c r="E11" i="40"/>
  <c r="A11" i="40"/>
  <c r="E10" i="40"/>
  <c r="A10" i="40"/>
  <c r="E9" i="40"/>
  <c r="A9" i="40"/>
  <c r="E8" i="40"/>
  <c r="A8" i="40"/>
  <c r="E7" i="40"/>
  <c r="A7" i="40"/>
  <c r="I1" i="40"/>
  <c r="A507" i="39"/>
  <c r="A506" i="39"/>
  <c r="A505" i="39"/>
  <c r="A504" i="39"/>
  <c r="A503" i="39"/>
  <c r="A502" i="39"/>
  <c r="A501" i="39"/>
  <c r="A500" i="39"/>
  <c r="A499" i="39"/>
  <c r="A498" i="39"/>
  <c r="A497" i="39"/>
  <c r="A496" i="39"/>
  <c r="A495" i="39"/>
  <c r="A494" i="39"/>
  <c r="A493" i="39"/>
  <c r="A492" i="39"/>
  <c r="A491" i="39"/>
  <c r="A490" i="39"/>
  <c r="A489" i="39"/>
  <c r="A488" i="39"/>
  <c r="A487" i="39"/>
  <c r="A486" i="39"/>
  <c r="A485" i="39"/>
  <c r="A484" i="39"/>
  <c r="A483" i="39"/>
  <c r="A482" i="39"/>
  <c r="A481" i="39"/>
  <c r="A480" i="39"/>
  <c r="A479" i="39"/>
  <c r="A478" i="39"/>
  <c r="A477" i="39"/>
  <c r="A476" i="39"/>
  <c r="A475" i="39"/>
  <c r="A474" i="39"/>
  <c r="A473" i="39"/>
  <c r="A472" i="39"/>
  <c r="A471" i="39"/>
  <c r="A470" i="39"/>
  <c r="A469" i="39"/>
  <c r="A468" i="39"/>
  <c r="A467" i="39"/>
  <c r="A466" i="39"/>
  <c r="A465" i="39"/>
  <c r="A464" i="39"/>
  <c r="A463" i="39"/>
  <c r="A462" i="39"/>
  <c r="A461" i="39"/>
  <c r="A460" i="39"/>
  <c r="A459" i="39"/>
  <c r="A458" i="39"/>
  <c r="A457" i="39"/>
  <c r="A456" i="39"/>
  <c r="A455" i="39"/>
  <c r="A454" i="39"/>
  <c r="A453" i="39"/>
  <c r="A452" i="39"/>
  <c r="A451" i="39"/>
  <c r="A450" i="39"/>
  <c r="A449" i="39"/>
  <c r="A448" i="39"/>
  <c r="A447" i="39"/>
  <c r="A446" i="39"/>
  <c r="A445" i="39"/>
  <c r="A444" i="39"/>
  <c r="A443" i="39"/>
  <c r="A442" i="39"/>
  <c r="A441" i="39"/>
  <c r="A440" i="39"/>
  <c r="A439" i="39"/>
  <c r="A438" i="39"/>
  <c r="A437" i="39"/>
  <c r="A436" i="39"/>
  <c r="A435" i="39"/>
  <c r="A434" i="39"/>
  <c r="A433" i="39"/>
  <c r="A432" i="39"/>
  <c r="A431" i="39"/>
  <c r="A430" i="39"/>
  <c r="A429" i="39"/>
  <c r="A428" i="39"/>
  <c r="A427" i="39"/>
  <c r="A426" i="39"/>
  <c r="A425" i="39"/>
  <c r="A424" i="39"/>
  <c r="A423" i="39"/>
  <c r="A422" i="39"/>
  <c r="A421" i="39"/>
  <c r="A420" i="39"/>
  <c r="A419" i="39"/>
  <c r="A418" i="39"/>
  <c r="A417" i="39"/>
  <c r="A416" i="39"/>
  <c r="A415" i="39"/>
  <c r="A414" i="39"/>
  <c r="A413" i="39"/>
  <c r="A412" i="39"/>
  <c r="A411" i="39"/>
  <c r="A410" i="39"/>
  <c r="A409" i="39"/>
  <c r="A408" i="39"/>
  <c r="A407" i="39"/>
  <c r="A406" i="39"/>
  <c r="A405" i="39"/>
  <c r="A404" i="39"/>
  <c r="A403" i="39"/>
  <c r="A402" i="39"/>
  <c r="A401" i="39"/>
  <c r="A400" i="39"/>
  <c r="A399" i="39"/>
  <c r="A398" i="39"/>
  <c r="A397" i="39"/>
  <c r="A396" i="39"/>
  <c r="A395" i="39"/>
  <c r="A394" i="39"/>
  <c r="A393" i="39"/>
  <c r="A392" i="39"/>
  <c r="A391" i="39"/>
  <c r="A390" i="39"/>
  <c r="A389" i="39"/>
  <c r="A388" i="39"/>
  <c r="A387" i="39"/>
  <c r="A386" i="39"/>
  <c r="A385" i="39"/>
  <c r="A384" i="39"/>
  <c r="A383" i="39"/>
  <c r="A382" i="39"/>
  <c r="A381" i="39"/>
  <c r="A380" i="39"/>
  <c r="A379" i="39"/>
  <c r="A378" i="39"/>
  <c r="A377" i="39"/>
  <c r="A376" i="39"/>
  <c r="A375" i="39"/>
  <c r="A374" i="39"/>
  <c r="A373" i="39"/>
  <c r="A372" i="39"/>
  <c r="A371" i="39"/>
  <c r="A370" i="39"/>
  <c r="A369" i="39"/>
  <c r="A368" i="39"/>
  <c r="A367" i="39"/>
  <c r="A366" i="39"/>
  <c r="A365" i="39"/>
  <c r="A364" i="39"/>
  <c r="A363" i="39"/>
  <c r="A362" i="39"/>
  <c r="A361" i="39"/>
  <c r="A360" i="39"/>
  <c r="A359" i="39"/>
  <c r="A358" i="39"/>
  <c r="A357" i="39"/>
  <c r="A356" i="39"/>
  <c r="A355" i="39"/>
  <c r="A354" i="39"/>
  <c r="A353" i="39"/>
  <c r="A352" i="39"/>
  <c r="A351" i="39"/>
  <c r="A350" i="39"/>
  <c r="A349" i="39"/>
  <c r="A348" i="39"/>
  <c r="A347" i="39"/>
  <c r="A346" i="39"/>
  <c r="A345" i="39"/>
  <c r="A344" i="39"/>
  <c r="A343" i="39"/>
  <c r="A342" i="39"/>
  <c r="A341" i="39"/>
  <c r="A340" i="39"/>
  <c r="A339" i="39"/>
  <c r="A338" i="39"/>
  <c r="A337" i="39"/>
  <c r="A336" i="39"/>
  <c r="A335" i="39"/>
  <c r="A334" i="39"/>
  <c r="A333" i="39"/>
  <c r="A332" i="39"/>
  <c r="A331" i="39"/>
  <c r="A330" i="39"/>
  <c r="A329" i="39"/>
  <c r="A328" i="39"/>
  <c r="A327" i="39"/>
  <c r="A326" i="39"/>
  <c r="A325" i="39"/>
  <c r="A324" i="39"/>
  <c r="A323" i="39"/>
  <c r="A322" i="39"/>
  <c r="A321" i="39"/>
  <c r="A320" i="39"/>
  <c r="A319" i="39"/>
  <c r="A318" i="39"/>
  <c r="A317" i="39"/>
  <c r="A316" i="39"/>
  <c r="A315" i="39"/>
  <c r="A314" i="39"/>
  <c r="A313" i="39"/>
  <c r="A312" i="39"/>
  <c r="A311" i="39"/>
  <c r="A310" i="39"/>
  <c r="A309" i="39"/>
  <c r="A308" i="39"/>
  <c r="A307" i="39"/>
  <c r="A306" i="39"/>
  <c r="A305" i="39"/>
  <c r="A304" i="39"/>
  <c r="A303" i="39"/>
  <c r="A302" i="39"/>
  <c r="A301" i="39"/>
  <c r="A300" i="39"/>
  <c r="A299" i="39"/>
  <c r="A298" i="39"/>
  <c r="A297" i="39"/>
  <c r="A296" i="39"/>
  <c r="A295" i="39"/>
  <c r="A294" i="39"/>
  <c r="A293" i="39"/>
  <c r="A292" i="39"/>
  <c r="A291" i="39"/>
  <c r="A290" i="39"/>
  <c r="A289" i="39"/>
  <c r="A288" i="39"/>
  <c r="A287" i="39"/>
  <c r="A286" i="39"/>
  <c r="A285" i="39"/>
  <c r="A284" i="39"/>
  <c r="A283" i="39"/>
  <c r="A282" i="39"/>
  <c r="A281" i="39"/>
  <c r="A280" i="39"/>
  <c r="A279" i="39"/>
  <c r="A278" i="39"/>
  <c r="A277" i="39"/>
  <c r="A276" i="39"/>
  <c r="A275" i="39"/>
  <c r="A274" i="39"/>
  <c r="A273" i="39"/>
  <c r="A272" i="39"/>
  <c r="A271" i="39"/>
  <c r="A270" i="39"/>
  <c r="A269" i="39"/>
  <c r="A268" i="39"/>
  <c r="A267" i="39"/>
  <c r="A266" i="39"/>
  <c r="A265" i="39"/>
  <c r="A264" i="39"/>
  <c r="A263" i="39"/>
  <c r="A262" i="39"/>
  <c r="A261" i="39"/>
  <c r="A260" i="39"/>
  <c r="A259" i="39"/>
  <c r="A258" i="39"/>
  <c r="A257" i="39"/>
  <c r="A256" i="39"/>
  <c r="A255" i="39"/>
  <c r="A254" i="39"/>
  <c r="A253" i="39"/>
  <c r="A252" i="39"/>
  <c r="A251" i="39"/>
  <c r="A250" i="39"/>
  <c r="A249" i="39"/>
  <c r="A248" i="39"/>
  <c r="A247" i="39"/>
  <c r="A246" i="39"/>
  <c r="A245" i="39"/>
  <c r="A244" i="39"/>
  <c r="A243" i="39"/>
  <c r="A242" i="39"/>
  <c r="A241" i="39"/>
  <c r="A240" i="39"/>
  <c r="A239" i="39"/>
  <c r="A238" i="39"/>
  <c r="A237" i="39"/>
  <c r="A236" i="39"/>
  <c r="A235" i="39"/>
  <c r="A234" i="39"/>
  <c r="A233" i="39"/>
  <c r="A232" i="39"/>
  <c r="A231" i="39"/>
  <c r="A230" i="39"/>
  <c r="A229" i="39"/>
  <c r="A228" i="39"/>
  <c r="A227" i="39"/>
  <c r="A226" i="39"/>
  <c r="A225" i="39"/>
  <c r="A224" i="39"/>
  <c r="A223" i="39"/>
  <c r="A222" i="39"/>
  <c r="A221" i="39"/>
  <c r="A220" i="39"/>
  <c r="A219" i="39"/>
  <c r="A218" i="39"/>
  <c r="A217" i="39"/>
  <c r="A216" i="39"/>
  <c r="A215" i="39"/>
  <c r="A214" i="39"/>
  <c r="A213" i="39"/>
  <c r="A212" i="39"/>
  <c r="A211" i="39"/>
  <c r="A210" i="39"/>
  <c r="A209" i="39"/>
  <c r="A208" i="39"/>
  <c r="A207" i="39"/>
  <c r="A206" i="39"/>
  <c r="A205" i="39"/>
  <c r="A204" i="39"/>
  <c r="A203" i="39"/>
  <c r="A202" i="39"/>
  <c r="A201" i="39"/>
  <c r="A200" i="39"/>
  <c r="A199" i="39"/>
  <c r="A198" i="39"/>
  <c r="A197" i="39"/>
  <c r="A196" i="39"/>
  <c r="A195" i="39"/>
  <c r="A194" i="39"/>
  <c r="A193" i="39"/>
  <c r="A192" i="39"/>
  <c r="A191" i="39"/>
  <c r="A190" i="39"/>
  <c r="A189" i="39"/>
  <c r="A188" i="39"/>
  <c r="A187" i="39"/>
  <c r="A186" i="39"/>
  <c r="A185" i="39"/>
  <c r="A184" i="39"/>
  <c r="A183" i="39"/>
  <c r="A182" i="39"/>
  <c r="A181" i="39"/>
  <c r="A180" i="39"/>
  <c r="A179" i="39"/>
  <c r="A178" i="39"/>
  <c r="A177" i="39"/>
  <c r="A176" i="39"/>
  <c r="A175" i="39"/>
  <c r="A174" i="39"/>
  <c r="A173" i="39"/>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E115" i="39"/>
  <c r="D115" i="39"/>
  <c r="A115" i="39"/>
  <c r="E114" i="39"/>
  <c r="D114" i="39"/>
  <c r="A114" i="39"/>
  <c r="E113" i="39"/>
  <c r="D113" i="39"/>
  <c r="A113" i="39"/>
  <c r="E112" i="39"/>
  <c r="D112" i="39"/>
  <c r="A112" i="39"/>
  <c r="E111" i="39"/>
  <c r="D111" i="39"/>
  <c r="A111" i="39"/>
  <c r="E110" i="39"/>
  <c r="D110" i="39"/>
  <c r="A110" i="39"/>
  <c r="E109" i="39"/>
  <c r="D109" i="39"/>
  <c r="A109" i="39"/>
  <c r="E108" i="39"/>
  <c r="D108" i="39"/>
  <c r="A108" i="39"/>
  <c r="E107" i="39"/>
  <c r="D107" i="39"/>
  <c r="A107" i="39"/>
  <c r="E106" i="39"/>
  <c r="D106" i="39"/>
  <c r="A106" i="39"/>
  <c r="E105" i="39"/>
  <c r="D105" i="39"/>
  <c r="A105" i="39"/>
  <c r="E104" i="39"/>
  <c r="D104" i="39"/>
  <c r="A104" i="39"/>
  <c r="E103" i="39"/>
  <c r="D103" i="39"/>
  <c r="A103" i="39"/>
  <c r="E102" i="39"/>
  <c r="D102" i="39"/>
  <c r="A102" i="39"/>
  <c r="E101" i="39"/>
  <c r="D101" i="39"/>
  <c r="A101" i="39"/>
  <c r="E100" i="39"/>
  <c r="D100" i="39"/>
  <c r="A100" i="39"/>
  <c r="E99" i="39"/>
  <c r="D99" i="39"/>
  <c r="A99" i="39"/>
  <c r="E98" i="39"/>
  <c r="D98" i="39"/>
  <c r="A98" i="39"/>
  <c r="E97" i="39"/>
  <c r="D97" i="39"/>
  <c r="A97" i="39"/>
  <c r="E96" i="39"/>
  <c r="D96" i="39"/>
  <c r="A96" i="39"/>
  <c r="E95" i="39"/>
  <c r="D95" i="39"/>
  <c r="A95" i="39"/>
  <c r="E94" i="39"/>
  <c r="D94" i="39"/>
  <c r="A94" i="39"/>
  <c r="E93" i="39"/>
  <c r="D93" i="39"/>
  <c r="A93" i="39"/>
  <c r="E92" i="39"/>
  <c r="D92" i="39"/>
  <c r="A92" i="39"/>
  <c r="E91" i="39"/>
  <c r="D91" i="39"/>
  <c r="A91" i="39"/>
  <c r="E90" i="39"/>
  <c r="D90" i="39"/>
  <c r="A90" i="39"/>
  <c r="E89" i="39"/>
  <c r="D89" i="39"/>
  <c r="A89" i="39"/>
  <c r="E88" i="39"/>
  <c r="D88" i="39"/>
  <c r="A88" i="39"/>
  <c r="E87" i="39"/>
  <c r="D87" i="39"/>
  <c r="A87" i="39"/>
  <c r="E86" i="39"/>
  <c r="D86" i="39"/>
  <c r="A86" i="39"/>
  <c r="E85" i="39"/>
  <c r="D85" i="39"/>
  <c r="A85" i="39"/>
  <c r="E84" i="39"/>
  <c r="D84" i="39"/>
  <c r="A84" i="39"/>
  <c r="E83" i="39"/>
  <c r="D83" i="39"/>
  <c r="A83" i="39"/>
  <c r="E82" i="39"/>
  <c r="D82" i="39"/>
  <c r="A82" i="39"/>
  <c r="E81" i="39"/>
  <c r="D81" i="39"/>
  <c r="A81" i="39"/>
  <c r="E80" i="39"/>
  <c r="D80" i="39"/>
  <c r="A80" i="39"/>
  <c r="E79" i="39"/>
  <c r="D79" i="39"/>
  <c r="A79" i="39"/>
  <c r="E78" i="39"/>
  <c r="D78" i="39"/>
  <c r="A78" i="39"/>
  <c r="E77" i="39"/>
  <c r="D77" i="39"/>
  <c r="A77" i="39"/>
  <c r="E76" i="39"/>
  <c r="D76" i="39"/>
  <c r="A76" i="39"/>
  <c r="E75" i="39"/>
  <c r="D75" i="39"/>
  <c r="A75" i="39"/>
  <c r="E74" i="39"/>
  <c r="D74" i="39"/>
  <c r="A74" i="39"/>
  <c r="E73" i="39"/>
  <c r="D73" i="39"/>
  <c r="A73" i="39"/>
  <c r="E72" i="39"/>
  <c r="D72" i="39"/>
  <c r="A72" i="39"/>
  <c r="E71" i="39"/>
  <c r="D71" i="39"/>
  <c r="A71" i="39"/>
  <c r="E70" i="39"/>
  <c r="D70" i="39"/>
  <c r="A70" i="39"/>
  <c r="E69" i="39"/>
  <c r="D69" i="39"/>
  <c r="A69" i="39"/>
  <c r="E68" i="39"/>
  <c r="D68" i="39"/>
  <c r="A68" i="39"/>
  <c r="E67" i="39"/>
  <c r="D67" i="39"/>
  <c r="A67" i="39"/>
  <c r="E66" i="39"/>
  <c r="D66" i="39"/>
  <c r="A66" i="39"/>
  <c r="E65" i="39"/>
  <c r="D65" i="39"/>
  <c r="A65" i="39"/>
  <c r="E64" i="39"/>
  <c r="D64" i="39"/>
  <c r="A64" i="39"/>
  <c r="E63" i="39"/>
  <c r="D63" i="39"/>
  <c r="A63" i="39"/>
  <c r="E62" i="39"/>
  <c r="D62" i="39"/>
  <c r="A62" i="39"/>
  <c r="E61" i="39"/>
  <c r="D61" i="39"/>
  <c r="A61" i="39"/>
  <c r="E60" i="39"/>
  <c r="D60" i="39"/>
  <c r="A60" i="39"/>
  <c r="E59" i="39"/>
  <c r="D59" i="39"/>
  <c r="A59" i="39"/>
  <c r="E58" i="39"/>
  <c r="D58" i="39"/>
  <c r="A58" i="39"/>
  <c r="E57" i="39"/>
  <c r="D57" i="39"/>
  <c r="A57" i="39"/>
  <c r="E56" i="39"/>
  <c r="D56" i="39"/>
  <c r="A56" i="39"/>
  <c r="E55" i="39"/>
  <c r="D55" i="39"/>
  <c r="A55" i="39"/>
  <c r="E54" i="39"/>
  <c r="D54" i="39"/>
  <c r="A54" i="39"/>
  <c r="E53" i="39"/>
  <c r="D53" i="39"/>
  <c r="A53" i="39"/>
  <c r="E52" i="39"/>
  <c r="D52" i="39"/>
  <c r="A52" i="39"/>
  <c r="E51" i="39"/>
  <c r="D51" i="39"/>
  <c r="A51" i="39"/>
  <c r="E50" i="39"/>
  <c r="D50" i="39"/>
  <c r="A50" i="39"/>
  <c r="E49" i="39"/>
  <c r="D49" i="39"/>
  <c r="A49" i="39"/>
  <c r="E48" i="39"/>
  <c r="D48" i="39"/>
  <c r="A48" i="39"/>
  <c r="E47" i="39"/>
  <c r="D47" i="39"/>
  <c r="A47" i="39"/>
  <c r="E46" i="39"/>
  <c r="D46" i="39"/>
  <c r="A46" i="39"/>
  <c r="E45" i="39"/>
  <c r="D45" i="39"/>
  <c r="A45" i="39"/>
  <c r="E44" i="39"/>
  <c r="D44" i="39"/>
  <c r="A44" i="39"/>
  <c r="E43" i="39"/>
  <c r="D43" i="39"/>
  <c r="A43" i="39"/>
  <c r="E42" i="39"/>
  <c r="D42" i="39"/>
  <c r="A42" i="39"/>
  <c r="E41" i="39"/>
  <c r="D41" i="39"/>
  <c r="A41" i="39"/>
  <c r="E40" i="39"/>
  <c r="D40" i="39"/>
  <c r="A40" i="39"/>
  <c r="E39" i="39"/>
  <c r="D39" i="39"/>
  <c r="A39" i="39"/>
  <c r="E38" i="39"/>
  <c r="D38" i="39"/>
  <c r="A38" i="39"/>
  <c r="E37" i="39"/>
  <c r="D37" i="39"/>
  <c r="A37" i="39"/>
  <c r="E36" i="39"/>
  <c r="D36" i="39"/>
  <c r="A36" i="39"/>
  <c r="E35" i="39"/>
  <c r="D35" i="39"/>
  <c r="A35" i="39"/>
  <c r="E34" i="39"/>
  <c r="D34" i="39"/>
  <c r="A34" i="39"/>
  <c r="E33" i="39"/>
  <c r="D33" i="39"/>
  <c r="A33" i="39"/>
  <c r="E32" i="39"/>
  <c r="D32" i="39"/>
  <c r="A32" i="39"/>
  <c r="E31" i="39"/>
  <c r="D31" i="39"/>
  <c r="A31" i="39"/>
  <c r="E30" i="39"/>
  <c r="D30" i="39"/>
  <c r="A30" i="39"/>
  <c r="E29" i="39"/>
  <c r="D29" i="39"/>
  <c r="A29" i="39"/>
  <c r="E28" i="39"/>
  <c r="D28" i="39"/>
  <c r="A28" i="39"/>
  <c r="E27" i="39"/>
  <c r="D27" i="39"/>
  <c r="A27" i="39"/>
  <c r="E26" i="39"/>
  <c r="D26" i="39"/>
  <c r="A26" i="39"/>
  <c r="E25" i="39"/>
  <c r="D25" i="39"/>
  <c r="A25" i="39"/>
  <c r="E24" i="39"/>
  <c r="D24" i="39"/>
  <c r="A24" i="39"/>
  <c r="E23" i="39"/>
  <c r="D23" i="39"/>
  <c r="A23" i="39"/>
  <c r="E22" i="39"/>
  <c r="D22" i="39"/>
  <c r="A22" i="39"/>
  <c r="E21" i="39"/>
  <c r="D21" i="39"/>
  <c r="A21" i="39"/>
  <c r="E20" i="39"/>
  <c r="D20" i="39"/>
  <c r="A20" i="39"/>
  <c r="E19" i="39"/>
  <c r="D19" i="39"/>
  <c r="A19" i="39"/>
  <c r="E18" i="39"/>
  <c r="D18" i="39"/>
  <c r="A18" i="39"/>
  <c r="E17" i="39"/>
  <c r="D17" i="39"/>
  <c r="A17" i="39"/>
  <c r="E16" i="39"/>
  <c r="D16" i="39"/>
  <c r="A16" i="39"/>
  <c r="E15" i="39"/>
  <c r="D15" i="39"/>
  <c r="A15" i="39"/>
  <c r="E14" i="39"/>
  <c r="D14" i="39"/>
  <c r="A14" i="39"/>
  <c r="E13" i="39"/>
  <c r="D13" i="39"/>
  <c r="A13" i="39"/>
  <c r="E12" i="39"/>
  <c r="D12" i="39"/>
  <c r="A12" i="39"/>
  <c r="E11" i="39"/>
  <c r="D11" i="39"/>
  <c r="A11" i="39"/>
  <c r="E10" i="39"/>
  <c r="D10" i="39"/>
  <c r="A10" i="39"/>
  <c r="E9" i="39"/>
  <c r="D9" i="39"/>
  <c r="A9" i="39"/>
  <c r="E8" i="39"/>
  <c r="D8" i="39"/>
  <c r="A8" i="39"/>
  <c r="E7" i="39"/>
  <c r="D7" i="39"/>
  <c r="A7" i="39"/>
  <c r="I1" i="39"/>
  <c r="B50" i="38"/>
  <c r="B37" i="38"/>
  <c r="B30" i="38"/>
  <c r="B28" i="38"/>
  <c r="B25" i="38"/>
  <c r="B21" i="38"/>
  <c r="H70" i="36"/>
  <c r="H69" i="36"/>
  <c r="H68" i="36"/>
  <c r="H67" i="36"/>
  <c r="H66" i="36"/>
  <c r="H65" i="36"/>
  <c r="H64" i="36"/>
  <c r="H63" i="36"/>
  <c r="H62" i="36"/>
  <c r="P63" i="35"/>
  <c r="Q63" i="35" s="1"/>
  <c r="P62" i="35"/>
  <c r="Q62" i="35" s="1"/>
  <c r="P61" i="35"/>
  <c r="Q61" i="35" s="1"/>
  <c r="P60" i="35"/>
  <c r="R60" i="35" s="1"/>
  <c r="P59" i="35"/>
  <c r="P58" i="35"/>
  <c r="R58" i="35" s="1"/>
  <c r="P57" i="35"/>
  <c r="P56" i="35"/>
  <c r="Q56" i="35" s="1"/>
  <c r="P55" i="35"/>
  <c r="P54" i="35"/>
  <c r="S54" i="35" s="1"/>
  <c r="P53" i="35"/>
  <c r="Q53" i="35" s="1"/>
  <c r="P52" i="35"/>
  <c r="P51" i="35"/>
  <c r="Q51" i="35" s="1"/>
  <c r="P50" i="35"/>
  <c r="Q50" i="35" s="1"/>
  <c r="P49" i="35"/>
  <c r="P48" i="35"/>
  <c r="Q48" i="35" s="1"/>
  <c r="P47" i="35"/>
  <c r="P46" i="35"/>
  <c r="Q46" i="35" s="1"/>
  <c r="P45" i="35"/>
  <c r="P44" i="35"/>
  <c r="P43" i="35"/>
  <c r="P42" i="35"/>
  <c r="P41" i="35"/>
  <c r="P40" i="35"/>
  <c r="Q40" i="35" s="1"/>
  <c r="D31" i="34"/>
  <c r="E31" i="34" s="1"/>
  <c r="D30" i="34"/>
  <c r="E30" i="34" s="1"/>
  <c r="D29" i="34"/>
  <c r="E29" i="34" s="1"/>
  <c r="D28" i="34"/>
  <c r="E28" i="34" s="1"/>
  <c r="D27" i="34"/>
  <c r="E27" i="34" s="1"/>
  <c r="D26" i="34"/>
  <c r="E26" i="34" s="1"/>
  <c r="D25" i="34"/>
  <c r="E25" i="34" s="1"/>
  <c r="D24" i="34"/>
  <c r="E24" i="34" s="1"/>
  <c r="D23" i="34"/>
  <c r="E23" i="34" s="1"/>
  <c r="D22" i="34"/>
  <c r="E22" i="34" s="1"/>
  <c r="D21" i="34"/>
  <c r="E21" i="34" s="1"/>
  <c r="D20" i="34"/>
  <c r="E20" i="34" s="1"/>
  <c r="D19" i="34"/>
  <c r="E19" i="34" s="1"/>
  <c r="D18" i="34"/>
  <c r="E18" i="34" s="1"/>
  <c r="D17" i="34"/>
  <c r="E17" i="34" s="1"/>
  <c r="D16" i="34"/>
  <c r="E16" i="34" s="1"/>
  <c r="D15" i="34"/>
  <c r="E15" i="34" s="1"/>
  <c r="D14" i="34"/>
  <c r="E14" i="34" s="1"/>
  <c r="D13" i="34"/>
  <c r="E13" i="34" s="1"/>
  <c r="D12" i="34"/>
  <c r="E12" i="34" s="1"/>
  <c r="D11" i="34"/>
  <c r="E11" i="34" s="1"/>
  <c r="D10" i="34"/>
  <c r="E10" i="34" s="1"/>
  <c r="D9" i="34"/>
  <c r="E9" i="34" s="1"/>
  <c r="D8" i="34"/>
  <c r="E8" i="34" s="1"/>
  <c r="D31" i="33"/>
  <c r="E31" i="33" s="1"/>
  <c r="D30" i="33"/>
  <c r="E30" i="33" s="1"/>
  <c r="D29" i="33"/>
  <c r="E29" i="33" s="1"/>
  <c r="D28" i="33"/>
  <c r="E28" i="33" s="1"/>
  <c r="D27" i="33"/>
  <c r="E27" i="33" s="1"/>
  <c r="D26" i="33"/>
  <c r="E26" i="33" s="1"/>
  <c r="D25" i="33"/>
  <c r="E25" i="33" s="1"/>
  <c r="D24" i="33"/>
  <c r="E24" i="33" s="1"/>
  <c r="D23" i="33"/>
  <c r="E23" i="33" s="1"/>
  <c r="D22" i="33"/>
  <c r="E22" i="33" s="1"/>
  <c r="D21" i="33"/>
  <c r="E21" i="33" s="1"/>
  <c r="D20" i="33"/>
  <c r="E20" i="33" s="1"/>
  <c r="D19" i="33"/>
  <c r="E19" i="33" s="1"/>
  <c r="D18" i="33"/>
  <c r="E18" i="33" s="1"/>
  <c r="D17" i="33"/>
  <c r="E17" i="33" s="1"/>
  <c r="D16" i="33"/>
  <c r="E16" i="33" s="1"/>
  <c r="D15" i="33"/>
  <c r="E15" i="33" s="1"/>
  <c r="D14" i="33"/>
  <c r="E14" i="33" s="1"/>
  <c r="D13" i="33"/>
  <c r="E13" i="33" s="1"/>
  <c r="D12" i="33"/>
  <c r="E12" i="33" s="1"/>
  <c r="D11" i="33"/>
  <c r="E11" i="33" s="1"/>
  <c r="D10" i="33"/>
  <c r="E10" i="33" s="1"/>
  <c r="D9" i="33"/>
  <c r="E9" i="33" s="1"/>
  <c r="D8" i="33"/>
  <c r="E8" i="33" s="1"/>
  <c r="E9" i="32"/>
  <c r="C9" i="32"/>
  <c r="E8" i="32"/>
  <c r="D7" i="32"/>
  <c r="C7" i="32"/>
  <c r="A5" i="32"/>
  <c r="T3" i="32"/>
  <c r="T2" i="32"/>
  <c r="U2" i="32" s="1"/>
  <c r="T1" i="32"/>
  <c r="U1" i="32" s="1"/>
  <c r="B7" i="45"/>
  <c r="C7" i="45"/>
  <c r="N3" i="44"/>
  <c r="I3" i="39"/>
  <c r="I3" i="40"/>
  <c r="N3" i="41"/>
  <c r="A22" i="45" l="1"/>
  <c r="O16" i="39"/>
  <c r="P16" i="39"/>
  <c r="B46" i="38"/>
  <c r="M17" i="45"/>
  <c r="A6" i="45"/>
  <c r="S40" i="35"/>
  <c r="S56" i="35"/>
  <c r="S50" i="35"/>
  <c r="R48" i="35"/>
  <c r="S48" i="35"/>
  <c r="R50" i="35"/>
  <c r="B42" i="38"/>
  <c r="B29" i="38"/>
  <c r="X15" i="44"/>
  <c r="X18" i="44"/>
  <c r="U17" i="44"/>
  <c r="X16" i="44"/>
  <c r="U15" i="44"/>
  <c r="X9" i="44"/>
  <c r="X12" i="44"/>
  <c r="U11" i="44"/>
  <c r="U14" i="44"/>
  <c r="X17" i="44"/>
  <c r="X10" i="44"/>
  <c r="U9" i="44"/>
  <c r="U13" i="44"/>
  <c r="U10" i="44"/>
  <c r="U18" i="44"/>
  <c r="U16" i="44"/>
  <c r="X11" i="44"/>
  <c r="X14" i="44"/>
  <c r="X13" i="44"/>
  <c r="U12" i="44"/>
  <c r="S9" i="39"/>
  <c r="P8" i="39"/>
  <c r="S12" i="39"/>
  <c r="P11" i="39"/>
  <c r="S15" i="39"/>
  <c r="P14" i="39"/>
  <c r="S7" i="39"/>
  <c r="S10" i="39"/>
  <c r="P9" i="39"/>
  <c r="S16" i="39"/>
  <c r="S14" i="39"/>
  <c r="S13" i="39"/>
  <c r="S11" i="39"/>
  <c r="S8" i="39"/>
  <c r="P13" i="39"/>
  <c r="P10" i="39"/>
  <c r="P12" i="39"/>
  <c r="P7" i="39"/>
  <c r="P15" i="39"/>
  <c r="X17" i="41"/>
  <c r="U16" i="41"/>
  <c r="X9" i="41"/>
  <c r="X12" i="41"/>
  <c r="U11" i="41"/>
  <c r="X15" i="41"/>
  <c r="U14" i="41"/>
  <c r="X18" i="41"/>
  <c r="U17" i="41"/>
  <c r="X10" i="41"/>
  <c r="U9" i="41"/>
  <c r="N18" i="41"/>
  <c r="U12" i="41"/>
  <c r="X13" i="41"/>
  <c r="U15" i="41"/>
  <c r="X16" i="41"/>
  <c r="U18" i="41"/>
  <c r="X11" i="41"/>
  <c r="X14" i="41"/>
  <c r="U13" i="41"/>
  <c r="U10" i="41"/>
  <c r="S11" i="40"/>
  <c r="P10" i="40"/>
  <c r="S14" i="40"/>
  <c r="P13" i="40"/>
  <c r="P16" i="40"/>
  <c r="S9" i="40"/>
  <c r="P8" i="40"/>
  <c r="S12" i="40"/>
  <c r="P11" i="40"/>
  <c r="P9" i="40"/>
  <c r="P15" i="40"/>
  <c r="P12" i="40"/>
  <c r="P7" i="40"/>
  <c r="S16" i="40"/>
  <c r="S8" i="40"/>
  <c r="S13" i="40"/>
  <c r="P14" i="40"/>
  <c r="S15" i="40"/>
  <c r="S7" i="40"/>
  <c r="S10" i="40"/>
  <c r="C16" i="45"/>
  <c r="C14" i="45"/>
  <c r="C12" i="45"/>
  <c r="C10" i="45"/>
  <c r="C17" i="45"/>
  <c r="C13" i="45"/>
  <c r="C9" i="45"/>
  <c r="D7" i="45"/>
  <c r="C11" i="45"/>
  <c r="C19" i="45"/>
  <c r="C15" i="45"/>
  <c r="B16" i="45"/>
  <c r="B14" i="45"/>
  <c r="B12" i="45"/>
  <c r="B10" i="45"/>
  <c r="B17" i="45"/>
  <c r="B13" i="45"/>
  <c r="B9" i="45"/>
  <c r="B19" i="45"/>
  <c r="B11" i="45"/>
  <c r="B15" i="45"/>
  <c r="AJ21" i="46"/>
  <c r="AJ16" i="46"/>
  <c r="Q42" i="35"/>
  <c r="S42" i="35"/>
  <c r="S47" i="35"/>
  <c r="R47" i="35"/>
  <c r="S55" i="35"/>
  <c r="R55" i="35"/>
  <c r="Q55" i="35"/>
  <c r="R42" i="35"/>
  <c r="Q47" i="35"/>
  <c r="S61" i="35"/>
  <c r="R61" i="35"/>
  <c r="S41" i="35"/>
  <c r="R41" i="35"/>
  <c r="Q41" i="35"/>
  <c r="AJ12" i="46"/>
  <c r="Q44" i="35"/>
  <c r="S44" i="35"/>
  <c r="R44" i="35"/>
  <c r="Q58" i="35"/>
  <c r="S58" i="35"/>
  <c r="S63" i="35"/>
  <c r="R63" i="35"/>
  <c r="Q52" i="35"/>
  <c r="S52" i="35"/>
  <c r="R52" i="35"/>
  <c r="S45" i="35"/>
  <c r="R45" i="35"/>
  <c r="AJ17" i="46"/>
  <c r="AI37" i="46"/>
  <c r="AJ35" i="46" s="1"/>
  <c r="Q60" i="35"/>
  <c r="S60" i="35"/>
  <c r="S57" i="35"/>
  <c r="R57" i="35"/>
  <c r="Q57" i="35"/>
  <c r="Q45" i="35"/>
  <c r="Q54" i="35"/>
  <c r="R54" i="35"/>
  <c r="B38" i="38"/>
  <c r="AJ11" i="46"/>
  <c r="AJ30" i="46"/>
  <c r="S51" i="35"/>
  <c r="R51" i="35"/>
  <c r="B32" i="38"/>
  <c r="B34" i="38" s="1"/>
  <c r="AJ32" i="46"/>
  <c r="S49" i="35"/>
  <c r="R49" i="35"/>
  <c r="S43" i="35"/>
  <c r="R43" i="35"/>
  <c r="R46" i="35"/>
  <c r="Q49" i="35"/>
  <c r="S59" i="35"/>
  <c r="R59" i="35"/>
  <c r="R62" i="35"/>
  <c r="AJ18" i="46"/>
  <c r="R40" i="35"/>
  <c r="Q43" i="35"/>
  <c r="S46" i="35"/>
  <c r="S53" i="35"/>
  <c r="R53" i="35"/>
  <c r="R56" i="35"/>
  <c r="Q59" i="35"/>
  <c r="S62" i="35"/>
  <c r="AJ13" i="46"/>
  <c r="AJ19" i="46"/>
  <c r="AJ14" i="46"/>
  <c r="AJ15" i="46"/>
  <c r="AJ10" i="46"/>
  <c r="AJ26" i="46" l="1"/>
  <c r="V17" i="44"/>
  <c r="W9" i="41"/>
  <c r="Q8" i="40"/>
  <c r="V11" i="44"/>
  <c r="W18" i="44"/>
  <c r="R12" i="39"/>
  <c r="W18" i="41"/>
  <c r="V14" i="44"/>
  <c r="Q10" i="40"/>
  <c r="W10" i="41"/>
  <c r="R9" i="39"/>
  <c r="D15" i="45"/>
  <c r="E15" i="45" s="1"/>
  <c r="D12" i="45"/>
  <c r="E12" i="45" s="1"/>
  <c r="W11" i="41"/>
  <c r="W16" i="41"/>
  <c r="W9" i="44"/>
  <c r="D14" i="45"/>
  <c r="E14" i="45" s="1"/>
  <c r="Q16" i="40"/>
  <c r="Q9" i="40"/>
  <c r="W13" i="41"/>
  <c r="Q7" i="40"/>
  <c r="R15" i="40"/>
  <c r="Q15" i="39"/>
  <c r="W15" i="41"/>
  <c r="R7" i="39"/>
  <c r="V12" i="41"/>
  <c r="Q10" i="39"/>
  <c r="D11" i="45"/>
  <c r="E11" i="45" s="1"/>
  <c r="R13" i="39"/>
  <c r="R16" i="39"/>
  <c r="W13" i="44"/>
  <c r="W15" i="44"/>
  <c r="W12" i="44"/>
  <c r="V10" i="44"/>
  <c r="R11" i="39"/>
  <c r="Q8" i="39"/>
  <c r="V17" i="41"/>
  <c r="R14" i="40"/>
  <c r="Q11" i="40"/>
  <c r="W14" i="41"/>
  <c r="Q14" i="39"/>
  <c r="D10" i="45"/>
  <c r="E10" i="45" s="1"/>
  <c r="Q13" i="40"/>
  <c r="Q12" i="40"/>
  <c r="W16" i="44"/>
  <c r="R18" i="41"/>
  <c r="N17" i="41"/>
  <c r="O18" i="41"/>
  <c r="D19" i="45"/>
  <c r="E19" i="45" s="1"/>
  <c r="R16" i="40"/>
  <c r="J16" i="40"/>
  <c r="M16" i="40"/>
  <c r="I15" i="40"/>
  <c r="V16" i="41"/>
  <c r="T18" i="41"/>
  <c r="V15" i="41"/>
  <c r="R15" i="39"/>
  <c r="R10" i="39"/>
  <c r="V13" i="44"/>
  <c r="V16" i="44"/>
  <c r="AJ29" i="46"/>
  <c r="D16" i="45"/>
  <c r="E16" i="45" s="1"/>
  <c r="R11" i="40"/>
  <c r="R13" i="40"/>
  <c r="V13" i="41"/>
  <c r="V10" i="41"/>
  <c r="W14" i="44"/>
  <c r="O18" i="44"/>
  <c r="N17" i="44"/>
  <c r="R18" i="44"/>
  <c r="R9" i="40"/>
  <c r="Q12" i="39"/>
  <c r="C18" i="45"/>
  <c r="D9" i="45"/>
  <c r="E9" i="45" s="1"/>
  <c r="R7" i="40"/>
  <c r="Q14" i="40"/>
  <c r="V14" i="41"/>
  <c r="Q7" i="39"/>
  <c r="R8" i="39"/>
  <c r="W11" i="44"/>
  <c r="W17" i="44"/>
  <c r="AJ34" i="46"/>
  <c r="W10" i="44"/>
  <c r="AJ27" i="46"/>
  <c r="D13" i="45"/>
  <c r="E13" i="45" s="1"/>
  <c r="Q15" i="40"/>
  <c r="O16" i="40"/>
  <c r="V11" i="41"/>
  <c r="W12" i="41"/>
  <c r="W17" i="41"/>
  <c r="V9" i="41"/>
  <c r="M16" i="39"/>
  <c r="I15" i="39"/>
  <c r="J16" i="39"/>
  <c r="Q11" i="39"/>
  <c r="Q9" i="39"/>
  <c r="V12" i="44"/>
  <c r="V18" i="44"/>
  <c r="AJ37" i="46"/>
  <c r="AJ28" i="46"/>
  <c r="AJ33" i="46"/>
  <c r="B18" i="45"/>
  <c r="B20" i="45" s="1"/>
  <c r="Q16" i="39"/>
  <c r="AJ31" i="46"/>
  <c r="D17" i="45"/>
  <c r="E17" i="45" s="1"/>
  <c r="R12" i="40"/>
  <c r="R8" i="40"/>
  <c r="R10" i="40"/>
  <c r="V18" i="41"/>
  <c r="Q13" i="39"/>
  <c r="R14" i="39"/>
  <c r="T18" i="44"/>
  <c r="V9" i="44"/>
  <c r="V15" i="44"/>
  <c r="C10" i="49" l="1"/>
  <c r="C16" i="49"/>
  <c r="C9" i="49"/>
  <c r="C14" i="49"/>
  <c r="B21" i="49"/>
  <c r="C21" i="49" s="1"/>
  <c r="C13" i="49"/>
  <c r="C15" i="49"/>
  <c r="C12" i="49"/>
  <c r="C18" i="49"/>
  <c r="C17" i="49"/>
  <c r="C11" i="49"/>
  <c r="Q18" i="41"/>
  <c r="Q18" i="44"/>
  <c r="K16" i="40"/>
  <c r="L16" i="39"/>
  <c r="L16" i="40"/>
  <c r="I14" i="39"/>
  <c r="J15" i="39"/>
  <c r="M15" i="39"/>
  <c r="O15" i="39"/>
  <c r="K16" i="39"/>
  <c r="P18" i="44"/>
  <c r="O17" i="41"/>
  <c r="N16" i="41"/>
  <c r="R17" i="41"/>
  <c r="T17" i="41"/>
  <c r="M15" i="40"/>
  <c r="I14" i="40"/>
  <c r="J15" i="40"/>
  <c r="O15" i="40"/>
  <c r="C20" i="45"/>
  <c r="D20" i="45" s="1"/>
  <c r="E20" i="45" s="1"/>
  <c r="D18" i="45"/>
  <c r="E18" i="45" s="1"/>
  <c r="R17" i="44"/>
  <c r="N16" i="44"/>
  <c r="O17" i="44"/>
  <c r="T17" i="44"/>
  <c r="P18" i="41"/>
  <c r="Q17" i="44" l="1"/>
  <c r="K15" i="39"/>
  <c r="Q17" i="41"/>
  <c r="L15" i="40"/>
  <c r="J14" i="40"/>
  <c r="M14" i="40"/>
  <c r="I13" i="40"/>
  <c r="O14" i="40"/>
  <c r="L15" i="39"/>
  <c r="K15" i="40"/>
  <c r="P17" i="44"/>
  <c r="R16" i="44"/>
  <c r="O16" i="44"/>
  <c r="N15" i="44"/>
  <c r="T16" i="44"/>
  <c r="P17" i="41"/>
  <c r="M14" i="39"/>
  <c r="I13" i="39"/>
  <c r="J14" i="39"/>
  <c r="O14" i="39"/>
  <c r="R16" i="41"/>
  <c r="N15" i="41"/>
  <c r="O16" i="41"/>
  <c r="T16" i="41"/>
  <c r="Q16" i="44" l="1"/>
  <c r="K14" i="39"/>
  <c r="K14" i="40"/>
  <c r="P16" i="41"/>
  <c r="P16" i="44"/>
  <c r="L14" i="39"/>
  <c r="M13" i="39"/>
  <c r="I12" i="39"/>
  <c r="J13" i="39"/>
  <c r="O13" i="39"/>
  <c r="Q16" i="41"/>
  <c r="M13" i="40"/>
  <c r="J13" i="40"/>
  <c r="I12" i="40"/>
  <c r="O13" i="40"/>
  <c r="N14" i="41"/>
  <c r="O15" i="41"/>
  <c r="R15" i="41"/>
  <c r="T15" i="41"/>
  <c r="N14" i="44"/>
  <c r="O15" i="44"/>
  <c r="R15" i="44"/>
  <c r="T15" i="44"/>
  <c r="L14" i="40"/>
  <c r="Q15" i="41" l="1"/>
  <c r="L13" i="39"/>
  <c r="K13" i="40"/>
  <c r="Q15" i="44"/>
  <c r="O14" i="44"/>
  <c r="N13" i="44"/>
  <c r="R14" i="44"/>
  <c r="T14" i="44"/>
  <c r="P15" i="41"/>
  <c r="J12" i="39"/>
  <c r="M12" i="39"/>
  <c r="I11" i="39"/>
  <c r="O12" i="39"/>
  <c r="K13" i="39"/>
  <c r="O14" i="41"/>
  <c r="N13" i="41"/>
  <c r="R14" i="41"/>
  <c r="T14" i="41"/>
  <c r="P15" i="44"/>
  <c r="M12" i="40"/>
  <c r="I11" i="40"/>
  <c r="J12" i="40"/>
  <c r="O12" i="40"/>
  <c r="L13" i="40"/>
  <c r="P14" i="44" l="1"/>
  <c r="P14" i="41"/>
  <c r="K12" i="40"/>
  <c r="K12" i="39"/>
  <c r="L12" i="39"/>
  <c r="R13" i="41"/>
  <c r="N12" i="41"/>
  <c r="O13" i="41"/>
  <c r="T13" i="41"/>
  <c r="M11" i="39"/>
  <c r="J11" i="39"/>
  <c r="I10" i="39"/>
  <c r="O11" i="39"/>
  <c r="L12" i="40"/>
  <c r="R13" i="44"/>
  <c r="N12" i="44"/>
  <c r="O13" i="44"/>
  <c r="T13" i="44"/>
  <c r="Q14" i="41"/>
  <c r="J11" i="40"/>
  <c r="M11" i="40"/>
  <c r="I10" i="40"/>
  <c r="O11" i="40"/>
  <c r="Q14" i="44"/>
  <c r="Q13" i="44" l="1"/>
  <c r="L11" i="39"/>
  <c r="Q13" i="41"/>
  <c r="L11" i="40"/>
  <c r="K11" i="39"/>
  <c r="M10" i="39"/>
  <c r="I9" i="39"/>
  <c r="J10" i="39"/>
  <c r="O10" i="39"/>
  <c r="O12" i="44"/>
  <c r="R12" i="44"/>
  <c r="N11" i="44"/>
  <c r="T12" i="44"/>
  <c r="P13" i="44"/>
  <c r="O12" i="41"/>
  <c r="N11" i="41"/>
  <c r="R12" i="41"/>
  <c r="T12" i="41"/>
  <c r="P13" i="41"/>
  <c r="M10" i="40"/>
  <c r="I9" i="40"/>
  <c r="J10" i="40"/>
  <c r="O10" i="40"/>
  <c r="K11" i="40"/>
  <c r="P12" i="41" l="1"/>
  <c r="L10" i="39"/>
  <c r="K10" i="40"/>
  <c r="P12" i="44"/>
  <c r="R11" i="44"/>
  <c r="O11" i="44"/>
  <c r="N10" i="44"/>
  <c r="T11" i="44"/>
  <c r="Q12" i="44"/>
  <c r="R11" i="41"/>
  <c r="O11" i="41"/>
  <c r="N10" i="41"/>
  <c r="T11" i="41"/>
  <c r="Q12" i="41"/>
  <c r="J9" i="39"/>
  <c r="M9" i="39"/>
  <c r="I8" i="39"/>
  <c r="O9" i="39"/>
  <c r="K10" i="39"/>
  <c r="L10" i="40"/>
  <c r="I8" i="40"/>
  <c r="J9" i="40"/>
  <c r="M9" i="40"/>
  <c r="O9" i="40"/>
  <c r="K9" i="39" l="1"/>
  <c r="K9" i="40"/>
  <c r="Q11" i="41"/>
  <c r="Q11" i="44"/>
  <c r="R10" i="41"/>
  <c r="N9" i="41"/>
  <c r="O10" i="41"/>
  <c r="T10" i="41"/>
  <c r="P11" i="41"/>
  <c r="M8" i="39"/>
  <c r="I7" i="39"/>
  <c r="J8" i="39"/>
  <c r="O8" i="39"/>
  <c r="L9" i="39"/>
  <c r="R10" i="44"/>
  <c r="N9" i="44"/>
  <c r="O10" i="44"/>
  <c r="T10" i="44"/>
  <c r="L9" i="40"/>
  <c r="J8" i="40"/>
  <c r="M8" i="40"/>
  <c r="I7" i="40"/>
  <c r="O8" i="40"/>
  <c r="P11" i="44"/>
  <c r="Q10" i="41" l="1"/>
  <c r="Q10" i="44"/>
  <c r="L8" i="40"/>
  <c r="L8" i="39"/>
  <c r="J7" i="39"/>
  <c r="M7" i="39"/>
  <c r="O7" i="39"/>
  <c r="K8" i="39"/>
  <c r="O9" i="44"/>
  <c r="R9" i="44"/>
  <c r="T9" i="44"/>
  <c r="P10" i="44"/>
  <c r="M7" i="40"/>
  <c r="J7" i="40"/>
  <c r="O7" i="40"/>
  <c r="O9" i="41"/>
  <c r="R9" i="41"/>
  <c r="T9" i="41"/>
  <c r="K8" i="40"/>
  <c r="P10" i="41"/>
  <c r="L7" i="40" l="1"/>
  <c r="K7" i="39"/>
  <c r="P9" i="41"/>
  <c r="Q9" i="44"/>
  <c r="K7" i="40"/>
  <c r="P9" i="44"/>
  <c r="Q9" i="41"/>
  <c r="L7" i="39"/>
  <c r="AH2" i="18" l="1"/>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2" i="18"/>
  <c r="A2" i="18"/>
</calcChain>
</file>

<file path=xl/sharedStrings.xml><?xml version="1.0" encoding="utf-8"?>
<sst xmlns="http://schemas.openxmlformats.org/spreadsheetml/2006/main" count="2484" uniqueCount="1331">
  <si>
    <t>% difference</t>
  </si>
  <si>
    <t>US$ v A$</t>
  </si>
  <si>
    <t>% Difference</t>
  </si>
  <si>
    <t>Unit</t>
  </si>
  <si>
    <t>US$</t>
  </si>
  <si>
    <t>A$</t>
  </si>
  <si>
    <t>bbl</t>
  </si>
  <si>
    <t>Iron Ore Fines China 62%</t>
  </si>
  <si>
    <t>$/tonne</t>
  </si>
  <si>
    <t>Graph Data</t>
  </si>
  <si>
    <t>% Change</t>
  </si>
  <si>
    <t>Iron Ore Fines China 58%</t>
  </si>
  <si>
    <t>Alumina</t>
  </si>
  <si>
    <t>t</t>
  </si>
  <si>
    <t>Oil</t>
  </si>
  <si>
    <t>Gold</t>
  </si>
  <si>
    <t>oz</t>
  </si>
  <si>
    <t>Nickel</t>
  </si>
  <si>
    <t>Cobalt</t>
  </si>
  <si>
    <t>Ilmenite</t>
  </si>
  <si>
    <t>Rutile</t>
  </si>
  <si>
    <t>Zircon</t>
  </si>
  <si>
    <t>Copper</t>
  </si>
  <si>
    <t>Lead</t>
  </si>
  <si>
    <t>Zinc</t>
  </si>
  <si>
    <t>Sources:</t>
  </si>
  <si>
    <t>Alumina  - ABS fob export data</t>
  </si>
  <si>
    <t>Gold - London PM Fix price</t>
  </si>
  <si>
    <t>All others LME prices</t>
  </si>
  <si>
    <t>US$:A$</t>
  </si>
  <si>
    <t>(May 1970 = 100)</t>
  </si>
  <si>
    <t>All items</t>
  </si>
  <si>
    <t>Rural component</t>
  </si>
  <si>
    <t>Non-rural component</t>
  </si>
  <si>
    <t>of which: Base metals</t>
  </si>
  <si>
    <t>SDR</t>
  </si>
  <si>
    <t>Source</t>
  </si>
  <si>
    <t>Date</t>
  </si>
  <si>
    <t>:</t>
  </si>
  <si>
    <t>Sources</t>
  </si>
  <si>
    <t>Quarter</t>
  </si>
  <si>
    <t>Quantity</t>
  </si>
  <si>
    <t>Last 24 Months</t>
  </si>
  <si>
    <t>Trade Weighted Index</t>
  </si>
  <si>
    <t>Exchange Rates</t>
  </si>
  <si>
    <t>Reserve Bank of Australia (RBA)</t>
  </si>
  <si>
    <t>Trade Weighted Inex</t>
  </si>
  <si>
    <t xml:space="preserve">"Trade-weighted index" is the average value of A$ in relation to the currencies of Australia's major trading partners.  </t>
  </si>
  <si>
    <t>Index of Commodity Prices</t>
  </si>
  <si>
    <t>RBA Statistical Tables</t>
  </si>
  <si>
    <t>RBA Historical Data and Exchange Rates</t>
  </si>
  <si>
    <t>Indexed:</t>
  </si>
  <si>
    <t>Year 1:</t>
  </si>
  <si>
    <t>Year 2:</t>
  </si>
  <si>
    <t>`</t>
  </si>
  <si>
    <t>Tab</t>
  </si>
  <si>
    <t>Data</t>
  </si>
  <si>
    <t>Link</t>
  </si>
  <si>
    <t>US and A$</t>
  </si>
  <si>
    <t>RBA spreadsheet of Comm prices</t>
  </si>
  <si>
    <t>Average Annual Commodity Prices</t>
  </si>
  <si>
    <t>Various</t>
  </si>
  <si>
    <t>DMP</t>
  </si>
  <si>
    <t>WATC</t>
  </si>
  <si>
    <t>Kitco</t>
  </si>
  <si>
    <t>LME</t>
  </si>
  <si>
    <t>MetalPrices.com</t>
  </si>
  <si>
    <t>Economic Summaries</t>
  </si>
  <si>
    <t>RBA Spreadsheet of Comm Prices</t>
  </si>
  <si>
    <t xml:space="preserve">Historic Trade Weighted Index (TWI) data. TWI is the average value of A$ in relation to the currencies of Australia's major trading partners.  </t>
  </si>
  <si>
    <t>Exports</t>
  </si>
  <si>
    <t>Mining Investment</t>
  </si>
  <si>
    <t>Actual Expenditure, WA</t>
  </si>
  <si>
    <t>Actual Expenditure, Australia</t>
  </si>
  <si>
    <t>Western Australia (A$ Million)</t>
  </si>
  <si>
    <t>Rest of Australia (A$ Million)</t>
  </si>
  <si>
    <t>Whole of Australia (A$ Million)</t>
  </si>
  <si>
    <t>New Capital Investment</t>
  </si>
  <si>
    <t>New Capital Expenditure</t>
  </si>
  <si>
    <t>NSW</t>
  </si>
  <si>
    <t>Vic</t>
  </si>
  <si>
    <t>Qld</t>
  </si>
  <si>
    <t>SA</t>
  </si>
  <si>
    <t>WA</t>
  </si>
  <si>
    <t>Tas</t>
  </si>
  <si>
    <t>NT</t>
  </si>
  <si>
    <t>Period</t>
  </si>
  <si>
    <t>Petroleum Exploration Expenditure</t>
  </si>
  <si>
    <t>Note: Where cells are blank, state based data is not made available by the ABS, but is included in Australian totals, unless otherwise indicated</t>
  </si>
  <si>
    <t>ABS 8412.0</t>
  </si>
  <si>
    <t>Mineral Exploration</t>
  </si>
  <si>
    <t>Petroleum Exploration</t>
  </si>
  <si>
    <t>Australian Bureau of Statistics (ABS), 5625.0 Private New Capital Expenditure and Expected Expenditure, Australia, Table 10B - Actual Expenditure; WA; Total (Industry)</t>
  </si>
  <si>
    <t>Australian Bureau of Statistics (ABS), 5625.0 Private New Capital Expenditure and Expected Expenditure, Australia, Table 1A - Actual Expenditure; Total (State); Total (Industry)</t>
  </si>
  <si>
    <t>ABS 5625.0</t>
  </si>
  <si>
    <t>Employment by Site - Minerals</t>
  </si>
  <si>
    <t>Company</t>
  </si>
  <si>
    <t>Bauxite/Alumina</t>
  </si>
  <si>
    <t>Base Metals</t>
  </si>
  <si>
    <t>Coal</t>
  </si>
  <si>
    <t>Diamonds</t>
  </si>
  <si>
    <t>Barrick Gold</t>
  </si>
  <si>
    <t xml:space="preserve"> </t>
  </si>
  <si>
    <t>Other</t>
  </si>
  <si>
    <t>Heavy Mineral Sands</t>
  </si>
  <si>
    <t>BHP Titanium Minerals Pty Ltd</t>
  </si>
  <si>
    <t>Doral Mineral Sands Pty Ltd</t>
  </si>
  <si>
    <t>Iluka Resources Limited</t>
  </si>
  <si>
    <t>Tronox Management Pty Ltd</t>
  </si>
  <si>
    <t>Iron Ore</t>
  </si>
  <si>
    <t>Citic Pacific Mining Management Pty Ltd</t>
  </si>
  <si>
    <t>Karara Mining Limited</t>
  </si>
  <si>
    <t>Process Minerals International Pty Ltd</t>
  </si>
  <si>
    <t>Manganese</t>
  </si>
  <si>
    <t>Pilbara Manganese Pty Ltd</t>
  </si>
  <si>
    <t>Fox Radio Hill Pty Ltd</t>
  </si>
  <si>
    <t>Independence Long Pty Ltd</t>
  </si>
  <si>
    <t>Mincor Operations Pty Ltd</t>
  </si>
  <si>
    <t>Murrin Murrin Operations Pty Ltd</t>
  </si>
  <si>
    <t>Salt Lake Mining Pty Ltd</t>
  </si>
  <si>
    <t>Salt</t>
  </si>
  <si>
    <t>Western Salt Refinery Pty Ltd</t>
  </si>
  <si>
    <t>Tin, Tantalum and Lithium</t>
  </si>
  <si>
    <t>Alliance Mineral Assets Limited</t>
  </si>
  <si>
    <t>Global Advanced Metals Greenbushes Pty Ltd</t>
  </si>
  <si>
    <t>Chromite</t>
  </si>
  <si>
    <t>Clays</t>
  </si>
  <si>
    <t>Construction Materials</t>
  </si>
  <si>
    <t>Dimension Stone</t>
  </si>
  <si>
    <t>Gypsum</t>
  </si>
  <si>
    <t>Industrial Pegmatite Minerals</t>
  </si>
  <si>
    <t>Limestone/Limesand</t>
  </si>
  <si>
    <t>Phosphate</t>
  </si>
  <si>
    <t>Rare Earths</t>
  </si>
  <si>
    <t>Silica/Silica Sand</t>
  </si>
  <si>
    <t>Silver</t>
  </si>
  <si>
    <t>Talc</t>
  </si>
  <si>
    <t>Tungsten and Molybdenum</t>
  </si>
  <si>
    <t>Vanadium</t>
  </si>
  <si>
    <t>Ports</t>
  </si>
  <si>
    <t>Current and previous period employment data in the minerals industry in WA.</t>
  </si>
  <si>
    <t>APA Group</t>
  </si>
  <si>
    <t>Various laterals and pipelines</t>
  </si>
  <si>
    <t>APT Parmelia Pty Ltd</t>
  </si>
  <si>
    <t>Mondarra Gas Storage Facility</t>
  </si>
  <si>
    <t>Dongara and Hovea Production Facilities, Mt Horner, Woodada and Well Intervention Activities</t>
  </si>
  <si>
    <t>Plutonic Lateral</t>
  </si>
  <si>
    <t>Macedon Gas Project</t>
  </si>
  <si>
    <t>Buru Energy</t>
  </si>
  <si>
    <t>Calenergy Resources (Aust) Ltd</t>
  </si>
  <si>
    <t>Whicher Range-4 ST1</t>
  </si>
  <si>
    <t>Chevron (Aust) Pty Ltd</t>
  </si>
  <si>
    <t>Gorgon, WA Oil Asset and Drilling and Wheatstone</t>
  </si>
  <si>
    <t>DBNGP (WA) Transmission Pty Ltd</t>
  </si>
  <si>
    <t>Dampier-Bunbury Natural Gas Pipeline</t>
  </si>
  <si>
    <t>Empire Oil Company (WA) Ltd</t>
  </si>
  <si>
    <t>Goldfields Gas Transmission Pty Ltd</t>
  </si>
  <si>
    <t>Goldfields Gas Pipeline</t>
  </si>
  <si>
    <t>Midwest Joint Venture</t>
  </si>
  <si>
    <t>Mid West Pipeline</t>
  </si>
  <si>
    <t>Newgen Neerabup Partnership</t>
  </si>
  <si>
    <t>Neerabup Pipeline-PL75</t>
  </si>
  <si>
    <t>Newmont Yandal Operations Pty Ltd</t>
  </si>
  <si>
    <t>Jundee Lateral</t>
  </si>
  <si>
    <t xml:space="preserve">Norilsk </t>
  </si>
  <si>
    <t>Cawse Lateral</t>
  </si>
  <si>
    <t>Origin Energy</t>
  </si>
  <si>
    <t>Cockburn Lateral, Jingemia and Beharra Springs</t>
  </si>
  <si>
    <t>Pilbara Iron</t>
  </si>
  <si>
    <t>Cape Lambert and Paraburdoo Gas Laterals</t>
  </si>
  <si>
    <t>Redback Pipeline Pty Ltd</t>
  </si>
  <si>
    <t>Magellan Lateral</t>
  </si>
  <si>
    <t>Roc Oil</t>
  </si>
  <si>
    <t>Arrowsmith Stabilisation Facility</t>
  </si>
  <si>
    <t>Southern Cross Pipelines Aust Pty Ltd</t>
  </si>
  <si>
    <t>Mt Keith, Parkeston, Kambalda and Leinster Laterals</t>
  </si>
  <si>
    <t>TOTAL WA ONSHORE AND COASTAL WATERS</t>
  </si>
  <si>
    <t>Commodity</t>
  </si>
  <si>
    <t>Direct Employees</t>
  </si>
  <si>
    <t>Base metals</t>
  </si>
  <si>
    <t>Iron ore</t>
  </si>
  <si>
    <t>Petroleum - Commonwealth Offshore</t>
  </si>
  <si>
    <t>Petroleum - WA Onshore/Coastal Waters</t>
  </si>
  <si>
    <t>Total</t>
  </si>
  <si>
    <t>WA Mining Industry Direct Employment by Calendar Year</t>
  </si>
  <si>
    <t>Diamond</t>
  </si>
  <si>
    <t>Total Direct Employment in WA Resources Sector</t>
  </si>
  <si>
    <t>Chart Data</t>
  </si>
  <si>
    <t>Click above to change chart data</t>
  </si>
  <si>
    <t>Employment by Site - Petroleum</t>
  </si>
  <si>
    <t>Employment</t>
  </si>
  <si>
    <t>Exploration and Investment</t>
  </si>
  <si>
    <t>Current and previous period employment data in the petroleum industry in WA.</t>
  </si>
  <si>
    <t>Pie graph showing the breakdown of employment by commodity in the WA minerals industry over the past year.</t>
  </si>
  <si>
    <t>Total A$</t>
  </si>
  <si>
    <t>%</t>
  </si>
  <si>
    <t>Note: All royalty revenue shown above is paid into the State's Consolidated Revenue Fund.  Added to the table, shown separately, is the State's share of the North West Shelf project royalty payments to the Commonwealth (which are provided as a grant from the Commonwealth to the State).</t>
  </si>
  <si>
    <t>Copper, Lead &amp; Zinc</t>
  </si>
  <si>
    <t>Petroleum *</t>
  </si>
  <si>
    <t>North West Shelf Grants</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</si>
  <si>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</si>
  <si>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</si>
  <si>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</si>
  <si>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</si>
  <si>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</si>
  <si>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</si>
  <si>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</si>
  <si>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</si>
  <si>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</si>
  <si>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</si>
  <si>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</si>
  <si>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</si>
  <si>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</si>
  <si>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</si>
  <si>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</si>
  <si>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</si>
  <si>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</si>
  <si>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</si>
  <si>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</si>
  <si>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</si>
  <si>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</si>
  <si>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</si>
  <si>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</si>
  <si>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</si>
  <si>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</si>
  <si>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</si>
  <si>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</si>
  <si>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</si>
  <si>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</si>
  <si>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</si>
  <si>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</si>
  <si>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</si>
  <si>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Petroleum</t>
  </si>
  <si>
    <t>As from 1 July 2009, the flow of Commonwealth NWS grant monies, previously paid directly to DMP, were paid to Treasury.</t>
  </si>
  <si>
    <t>As from 2009-10, Treasury removed NWS grants from its published royalty receipts table.</t>
  </si>
  <si>
    <t>($A Millions)</t>
  </si>
  <si>
    <t>Total Mining FTEs</t>
  </si>
  <si>
    <t>Total FTEs</t>
  </si>
  <si>
    <t>Total exploration FTEs</t>
  </si>
  <si>
    <t xml:space="preserve">Iron Ore                           </t>
  </si>
  <si>
    <t xml:space="preserve">Bauxite - Alumina                  </t>
  </si>
  <si>
    <t xml:space="preserve">Nickel                             </t>
  </si>
  <si>
    <t xml:space="preserve">Diamond                            </t>
  </si>
  <si>
    <t xml:space="preserve">Coal                               </t>
  </si>
  <si>
    <t xml:space="preserve">Salt                               </t>
  </si>
  <si>
    <t xml:space="preserve">Construction Materials             </t>
  </si>
  <si>
    <t xml:space="preserve">Tin - Tantalum - Lithium           </t>
  </si>
  <si>
    <t>All Commodities</t>
  </si>
  <si>
    <t>Historic Employment Monthly</t>
  </si>
  <si>
    <t>Other WA Exports</t>
  </si>
  <si>
    <t>Export Value</t>
  </si>
  <si>
    <t>China</t>
  </si>
  <si>
    <t>Japan</t>
  </si>
  <si>
    <t>Korea, Republic of</t>
  </si>
  <si>
    <t>Singapore</t>
  </si>
  <si>
    <t>India</t>
  </si>
  <si>
    <t>Indonesia</t>
  </si>
  <si>
    <t>Taiwan</t>
  </si>
  <si>
    <t>Total Re-Export</t>
  </si>
  <si>
    <t>New South Wales</t>
  </si>
  <si>
    <t>Victoria</t>
  </si>
  <si>
    <t>Queensland</t>
  </si>
  <si>
    <t>South Australia</t>
  </si>
  <si>
    <t>Western Australia</t>
  </si>
  <si>
    <t>Tasmania</t>
  </si>
  <si>
    <t>Northern Territory</t>
  </si>
  <si>
    <t>Australian Capital Territory</t>
  </si>
  <si>
    <t>No State Available</t>
  </si>
  <si>
    <t>Total Other</t>
  </si>
  <si>
    <t>State</t>
  </si>
  <si>
    <t>WA vs Australia vs The World</t>
  </si>
  <si>
    <t>WA's production of major commodities as compared to the rest of Australia and the world as a whole.</t>
  </si>
  <si>
    <t>Royalties</t>
  </si>
  <si>
    <t>Royalties - Historic</t>
  </si>
  <si>
    <t>Historic royalty receipts and North West Shelf grants, 1984-present.</t>
  </si>
  <si>
    <t>Quick Resources Facts</t>
  </si>
  <si>
    <t>Output of minerals and energy</t>
  </si>
  <si>
    <t>$ million</t>
  </si>
  <si>
    <t>WA minerals</t>
  </si>
  <si>
    <t>WA petroleum</t>
  </si>
  <si>
    <t>Million barrels</t>
  </si>
  <si>
    <t xml:space="preserve">Australia </t>
  </si>
  <si>
    <t xml:space="preserve">WA share </t>
  </si>
  <si>
    <t>Million cubic metres</t>
  </si>
  <si>
    <t>Australia</t>
  </si>
  <si>
    <t>WA share</t>
  </si>
  <si>
    <t>WA exports of minerals and energy as % share of  all State Merchandise exports</t>
  </si>
  <si>
    <t>Mining component of WA GSP *</t>
  </si>
  <si>
    <t>* Note:  The ABS categorise alumina as manufacturing and is not included in the GSP mining component above.</t>
  </si>
  <si>
    <t>Short summary of pertinent data on major commodities and the mining industry overall in WA and Australia</t>
  </si>
  <si>
    <t>Rest of Australia</t>
  </si>
  <si>
    <t>Rest of World</t>
  </si>
  <si>
    <t>LNG</t>
  </si>
  <si>
    <t>Garnet</t>
  </si>
  <si>
    <t>The Trustee For Fmr Unit Trust</t>
  </si>
  <si>
    <t>Western Australian Mint</t>
  </si>
  <si>
    <t>Cristal Mining Australia Limited</t>
  </si>
  <si>
    <t>Keysbrook Leucoxene Pty Ltd</t>
  </si>
  <si>
    <t>Atlas Iron Limited</t>
  </si>
  <si>
    <t>Brierty Limited</t>
  </si>
  <si>
    <t>Pluton Resources Limited</t>
  </si>
  <si>
    <t>Roy Hill Holdings Pty Ltd</t>
  </si>
  <si>
    <t>BHP Billiton Nickel West Pty Ltd</t>
  </si>
  <si>
    <t>Panoramic Resources Limited</t>
  </si>
  <si>
    <t>Poseidon Nickel Limited</t>
  </si>
  <si>
    <t>Talisman Nickel Pty Ltd</t>
  </si>
  <si>
    <t>Western Areas Limited</t>
  </si>
  <si>
    <t>Wingstar Investments Pty Ltd</t>
  </si>
  <si>
    <t>Global Advanced Metals Wodgina Pty Ltd</t>
  </si>
  <si>
    <t>Tabba Tabba Tantalum Pty Ltd</t>
  </si>
  <si>
    <t>Talison Lithium Australia Pty Ltd</t>
  </si>
  <si>
    <t>Operating site</t>
  </si>
  <si>
    <t>Finder Shale Pty Ltd</t>
  </si>
  <si>
    <t>Theia-1</t>
  </si>
  <si>
    <t>Latent Petroleum Pty Ltd</t>
  </si>
  <si>
    <t>Warro Gas Field</t>
  </si>
  <si>
    <t>Robe River Iron Ore Associates</t>
  </si>
  <si>
    <t>West Angelas Petroleum (Gas) Pipelines and Stations</t>
  </si>
  <si>
    <t>Country</t>
  </si>
  <si>
    <r>
      <t>* Includes the Commonwealth's share of royalties collected under the Western Australian</t>
    </r>
    <r>
      <rPr>
        <i/>
        <sz val="8"/>
        <rFont val="Calibri"/>
        <family val="2"/>
        <scheme val="minor"/>
      </rPr>
      <t xml:space="preserve"> Petroleum Submerged Land Act</t>
    </r>
    <r>
      <rPr>
        <sz val="8"/>
        <rFont val="Calibri"/>
        <family val="2"/>
        <scheme val="minor"/>
      </rPr>
      <t xml:space="preserve"> (PSLA).</t>
    </r>
  </si>
  <si>
    <t xml:space="preserve">Australia (DMP estimate only) </t>
  </si>
  <si>
    <t>Australia (DMP estimate only)</t>
  </si>
  <si>
    <t>Exploration</t>
  </si>
  <si>
    <t>Click to Select: FTE (Full Time Equivalent)</t>
  </si>
  <si>
    <t>Click to Select: Average Number of Individuals</t>
  </si>
  <si>
    <t>Mining Contractors FTEs</t>
  </si>
  <si>
    <t>Exploration Company Employees FTEs</t>
  </si>
  <si>
    <t>Exploration Contractors FTEs</t>
  </si>
  <si>
    <t>Mining Company Employees FTEs</t>
  </si>
  <si>
    <t>Mining Reported Employee numbers</t>
  </si>
  <si>
    <t>Mining Reported Contractor numbers</t>
  </si>
  <si>
    <t>Mining Reported Total numbers</t>
  </si>
  <si>
    <t>Exploration Employees Number reported</t>
  </si>
  <si>
    <t>Exploration Contractors Number reported</t>
  </si>
  <si>
    <t>Total exploration Number reported</t>
  </si>
  <si>
    <t>Month:</t>
  </si>
  <si>
    <t>Year:</t>
  </si>
  <si>
    <t xml:space="preserve">Base Metals               </t>
  </si>
  <si>
    <t>Tin - Tantalum - Lithium</t>
  </si>
  <si>
    <t>FTE (Full Time Equivalent)</t>
  </si>
  <si>
    <t>Calendar Year Employment</t>
  </si>
  <si>
    <t>Employment in the WA minerals and exploration industries by commodity on a monthly basis since 2001.</t>
  </si>
  <si>
    <t>Cal. Year Employment Pre 2000</t>
  </si>
  <si>
    <t>Static annual (calendar year) employment data (by commodity) for 1987-2000.</t>
  </si>
  <si>
    <t>Mineral Sands</t>
  </si>
  <si>
    <t xml:space="preserve">Mineral Sands                </t>
  </si>
  <si>
    <t>Select:</t>
  </si>
  <si>
    <t>Financial Year</t>
  </si>
  <si>
    <t>Calendar Year</t>
  </si>
  <si>
    <t>Mineral sands</t>
  </si>
  <si>
    <t>Absolute Disparity (FTEs vs Number of Individuals)</t>
  </si>
  <si>
    <r>
      <t>TiO</t>
    </r>
    <r>
      <rPr>
        <b/>
        <vertAlign val="subscript"/>
        <sz val="10"/>
        <color theme="0"/>
        <rFont val="Arial"/>
        <family val="2"/>
      </rPr>
      <t>2</t>
    </r>
  </si>
  <si>
    <t>2014-15 = 100</t>
  </si>
  <si>
    <t>2015-16</t>
  </si>
  <si>
    <t>Royalty Receipts - Latest</t>
  </si>
  <si>
    <t>Royalty receipts and North West Shelf from the most recent calendar/financial years.</t>
  </si>
  <si>
    <t>H1 2001</t>
  </si>
  <si>
    <t>H2 2001</t>
  </si>
  <si>
    <t>H1 2002</t>
  </si>
  <si>
    <t>H2 2002</t>
  </si>
  <si>
    <t>H1 2003</t>
  </si>
  <si>
    <t>H2 2003</t>
  </si>
  <si>
    <t>H1 2004</t>
  </si>
  <si>
    <t>H2 2004</t>
  </si>
  <si>
    <t>H1 2005</t>
  </si>
  <si>
    <t>H2 2005</t>
  </si>
  <si>
    <t>H1 2006</t>
  </si>
  <si>
    <t>H2 2006</t>
  </si>
  <si>
    <t>H1 2007</t>
  </si>
  <si>
    <t>H2 2007</t>
  </si>
  <si>
    <t>H1 2008</t>
  </si>
  <si>
    <t>H2 2008</t>
  </si>
  <si>
    <t>H1 2009</t>
  </si>
  <si>
    <t>H2 2009</t>
  </si>
  <si>
    <t>H1 2010</t>
  </si>
  <si>
    <t>H2 2010</t>
  </si>
  <si>
    <t>H1 2011</t>
  </si>
  <si>
    <t>H2 2011</t>
  </si>
  <si>
    <t>H1 2012</t>
  </si>
  <si>
    <t>H2 2012</t>
  </si>
  <si>
    <t>H1 2013</t>
  </si>
  <si>
    <t>H2 2013</t>
  </si>
  <si>
    <t>H1 2014</t>
  </si>
  <si>
    <t>H2 2014</t>
  </si>
  <si>
    <t>H1 2015</t>
  </si>
  <si>
    <t>H2 2015</t>
  </si>
  <si>
    <t>H1 2016</t>
  </si>
  <si>
    <t>H2 2016</t>
  </si>
  <si>
    <t>H1 2017</t>
  </si>
  <si>
    <t>H2 2017</t>
  </si>
  <si>
    <t>H1 2018</t>
  </si>
  <si>
    <t>H2 2018</t>
  </si>
  <si>
    <t>H1 2019</t>
  </si>
  <si>
    <t>H2 2019</t>
  </si>
  <si>
    <t>H1 2020</t>
  </si>
  <si>
    <t>H2 2020</t>
  </si>
  <si>
    <t>H1 2021</t>
  </si>
  <si>
    <t>H2 2021</t>
  </si>
  <si>
    <t>H1 2022</t>
  </si>
  <si>
    <t>H2 2022</t>
  </si>
  <si>
    <t>H1 2023</t>
  </si>
  <si>
    <t>H2 2023</t>
  </si>
  <si>
    <t>H1 2024</t>
  </si>
  <si>
    <t>H2 2024</t>
  </si>
  <si>
    <t>H1 2025</t>
  </si>
  <si>
    <t>H2 2025</t>
  </si>
  <si>
    <t>H1 2026</t>
  </si>
  <si>
    <t>H2 2026</t>
  </si>
  <si>
    <t>H1 2027</t>
  </si>
  <si>
    <t>H2 2027</t>
  </si>
  <si>
    <t>H1 2028</t>
  </si>
  <si>
    <t>H2 2028</t>
  </si>
  <si>
    <t>H1 2029</t>
  </si>
  <si>
    <t>H2 2029</t>
  </si>
  <si>
    <t>H1 2030</t>
  </si>
  <si>
    <t>H2 2030</t>
  </si>
  <si>
    <t>H1 2031</t>
  </si>
  <si>
    <t>H2 2031</t>
  </si>
  <si>
    <t>H1 2032</t>
  </si>
  <si>
    <t>H2 2032</t>
  </si>
  <si>
    <t>H1 2033</t>
  </si>
  <si>
    <t>H2 2033</t>
  </si>
  <si>
    <t>H1 2034</t>
  </si>
  <si>
    <t>H2 2034</t>
  </si>
  <si>
    <t>H1 2035</t>
  </si>
  <si>
    <t>H2 2035</t>
  </si>
  <si>
    <t>Total Mining FTEs (HYs)</t>
  </si>
  <si>
    <t>United Kingdom</t>
  </si>
  <si>
    <t>Mineral Exploration Expenditure</t>
  </si>
  <si>
    <t>Australian Bureau of Statistics (ABS), 5625.0 Private New Capital Expenditure and Expected Expenditure, Australia, Table 10B - Actual Expenditure ;  Western Australia ;  Mining ;  Total (Type of Asset - Detailed Level) ;  Current Price ;</t>
  </si>
  <si>
    <t>It is important to note that the figures reported above by the ABS do not capture all mining investment.  Mining is broadly defined as the extraction of minerals occurring naturally as solids such as coal and ores, liquids such as crude petroleum and natural gas.  Downstream mining activities such as smelting of minerals or ores (other than preliminary smelting of gold) or refining are classified as manufacturing activities.</t>
  </si>
  <si>
    <t>Total Direct Employment in WA Mining Sector (excl. Exploration)</t>
  </si>
  <si>
    <t>RBA data showing the comparative historic value of major Australian commodities, indexed to 2014-15.</t>
  </si>
  <si>
    <t>How to Use</t>
  </si>
  <si>
    <t>Details about how to use this file, and access the information held within it.</t>
  </si>
  <si>
    <t>ABS data showing historic and current investment in Mining in WA and the rest of Australia.</t>
  </si>
  <si>
    <t>ABS data showing historic and current investment in new capital for Mining in WA and the rest of Australia.</t>
  </si>
  <si>
    <t>ABS data showing historic and current expenditure on mineral exploration in WA and the rest of Australia.</t>
  </si>
  <si>
    <t>Min. Expl. Major Commodities</t>
  </si>
  <si>
    <t>Mineral Exploration Drilling</t>
  </si>
  <si>
    <t>ABS data showing historic and current exploration drilling and expenditure on new and existing mineral deposits.</t>
  </si>
  <si>
    <t>ABS data showing historic and current expenditure on petroleum exploration in WA and the rest of Australia.</t>
  </si>
  <si>
    <t>Silver, Lead, Zinc</t>
  </si>
  <si>
    <t>Copper, Lead, Zinc</t>
  </si>
  <si>
    <t>Nickel Cobalt</t>
  </si>
  <si>
    <t>Base Metals (Total)</t>
  </si>
  <si>
    <t>Uranium</t>
  </si>
  <si>
    <t>Aus.</t>
  </si>
  <si>
    <t>New</t>
  </si>
  <si>
    <t>Existing</t>
  </si>
  <si>
    <t>Annual Average (Financial Year)</t>
  </si>
  <si>
    <t>Annual Average (Calendar Year)</t>
  </si>
  <si>
    <t>Click to Select:</t>
  </si>
  <si>
    <t>Click here to select an option</t>
  </si>
  <si>
    <t>A menu will drop down showing your choices</t>
  </si>
  <si>
    <t>Click to Select: Click anywhere in this tab to bring up the menu</t>
  </si>
  <si>
    <t>Financial Year Employment</t>
  </si>
  <si>
    <t>Annual calendar year employment by commodity data and graph in the WA minerals industry since 2001.</t>
  </si>
  <si>
    <t>Annual financial year employment by commodity data and graph in the WA minerals industry since 2001-02.</t>
  </si>
  <si>
    <t>Bauxite - Alumina</t>
  </si>
  <si>
    <t>Hanson Construction Materials Pty Ltd</t>
  </si>
  <si>
    <t>Italia Stone Group Pty Ltd</t>
  </si>
  <si>
    <t>MLG Oz Pty Ltd</t>
  </si>
  <si>
    <t>The Trustee For WA Limestone Unit Trust</t>
  </si>
  <si>
    <t>Urban Resources Pty Ltd</t>
  </si>
  <si>
    <t>Focus Minerals Ltd</t>
  </si>
  <si>
    <t>Western Mining Pty Ltd</t>
  </si>
  <si>
    <t>C.A Bywaters &amp; P.J Bywaters</t>
  </si>
  <si>
    <t>Gypsum Supplies</t>
  </si>
  <si>
    <t>The Trustee For Westdeen Unit Trust</t>
  </si>
  <si>
    <t>Whitfield Minerals Pty Ltd</t>
  </si>
  <si>
    <t>Sibelco Australia Limited</t>
  </si>
  <si>
    <t>Bbi Group Limited</t>
  </si>
  <si>
    <t>BHP Billiton Iron Ore Pty. Ltd.</t>
  </si>
  <si>
    <t>Calibre Projects Pty Ltd</t>
  </si>
  <si>
    <t>Cliffs Natural Resources Pty Ltd</t>
  </si>
  <si>
    <t>Crosslands Resources Ltd</t>
  </si>
  <si>
    <t>Fortescue Metals Group Ltd</t>
  </si>
  <si>
    <t>Hamersley Hms Pty Ltd</t>
  </si>
  <si>
    <t>Hamersley Iron - Yandi Pty Limited</t>
  </si>
  <si>
    <t>Hamersley Iron Pty. Limited</t>
  </si>
  <si>
    <t>Kimberley Metals Group Pty Ltd</t>
  </si>
  <si>
    <t>Mineral Resources Limited</t>
  </si>
  <si>
    <t>Moly Metals Australia Pty Ltd</t>
  </si>
  <si>
    <t>Mount Gibson Mining Limited</t>
  </si>
  <si>
    <t>Polaris Metals Pty Ltd</t>
  </si>
  <si>
    <t>Rio Tinto Iron Ore Pty Ltd</t>
  </si>
  <si>
    <t>Roy Hill Iron Ore Pty Ltd</t>
  </si>
  <si>
    <t>Sinosteel Midwest Corporation Limited</t>
  </si>
  <si>
    <t>Top Iron Pty Ltd</t>
  </si>
  <si>
    <t>Limestone - Limesand</t>
  </si>
  <si>
    <t>Agricycle Compost Pty Ltd</t>
  </si>
  <si>
    <t>Agxpress Pty Ltd</t>
  </si>
  <si>
    <t>Central Earthmoving Company Pty Ltd</t>
  </si>
  <si>
    <t>Charles Hull Contracting Co. Pty Ltd</t>
  </si>
  <si>
    <t>Cockburn Cement Limited</t>
  </si>
  <si>
    <t>DG &amp; H Wilson</t>
  </si>
  <si>
    <t>Doust Enterprises (WA) Pty Ltd</t>
  </si>
  <si>
    <t>Fairplan Holdings Pty Ltd</t>
  </si>
  <si>
    <t>High Mannor Pty Ltd</t>
  </si>
  <si>
    <t>J.R Cunningham &amp; N.J Cunningham &amp; R Cunningham</t>
  </si>
  <si>
    <t>Karlu Grazing Pty. Ltd.</t>
  </si>
  <si>
    <t>L'haridon Bight Mining Pty Ltd</t>
  </si>
  <si>
    <t>Lime Industries Pty Ltd</t>
  </si>
  <si>
    <t>P.M.R. Quarries Pty Ltd</t>
  </si>
  <si>
    <t>Piacentini &amp; Son Pty Ltd</t>
  </si>
  <si>
    <t>Susac Lime Supply Pty Ltd</t>
  </si>
  <si>
    <t>The Peter Rayner Family Trust</t>
  </si>
  <si>
    <t>The Trustee For Glenlea Nominees Unit Trust</t>
  </si>
  <si>
    <t>The Trustee For The Blair Howe Trust</t>
  </si>
  <si>
    <t>The Trustee For Jurien Lime Sands Unit Trust</t>
  </si>
  <si>
    <t>Triple M Transport (WA) Pty Ltd</t>
  </si>
  <si>
    <t>First Quantum Minerals (Australia) Pty Limited</t>
  </si>
  <si>
    <t>Independence Nova Pty Ltd</t>
  </si>
  <si>
    <t>Mid West Ports Authority</t>
  </si>
  <si>
    <t>Phosphate Resources Limited</t>
  </si>
  <si>
    <t>Potash</t>
  </si>
  <si>
    <t>Reward Minerals Ltd</t>
  </si>
  <si>
    <t>Mt Weld Mining Pty Limited</t>
  </si>
  <si>
    <t>Dampier Salt Limited</t>
  </si>
  <si>
    <t>Onslow Salt Pty Ltd.</t>
  </si>
  <si>
    <t>Shark Bay Resources Pty Ltd</t>
  </si>
  <si>
    <t>W A Salt Koolyanobbing Pty Ltd</t>
  </si>
  <si>
    <t>A.C.N. 065 925 402 Pty. Limited</t>
  </si>
  <si>
    <t>Kemerton Silica Sand Pty Ltd</t>
  </si>
  <si>
    <t>Simcoa Operations Pty. Ltd.</t>
  </si>
  <si>
    <t>Macphersons Resources Limited</t>
  </si>
  <si>
    <t>Imerys Talc Australia Pty Ltd</t>
  </si>
  <si>
    <t>Valdrew Nominees Pty Ltd</t>
  </si>
  <si>
    <t>Fremantle Port Authority</t>
  </si>
  <si>
    <t>Kwinana Bulk Terminal</t>
  </si>
  <si>
    <t>Pilbara Ports Authority</t>
  </si>
  <si>
    <t>Rey Derby Port Operations Pty Ltd</t>
  </si>
  <si>
    <t>Southern Ports Authority</t>
  </si>
  <si>
    <t>Vimy Resources Limited</t>
  </si>
  <si>
    <t>Vanadium - Titanium</t>
  </si>
  <si>
    <t>Midwest Vanadium Pty Ltd</t>
  </si>
  <si>
    <t>Grand Total:</t>
  </si>
  <si>
    <t>CSR Building Products Limited</t>
  </si>
  <si>
    <t>BHP Billiton Petroleum Pty Ltd</t>
  </si>
  <si>
    <t>Quadrant Energy Pty Ltd</t>
  </si>
  <si>
    <t>Rigs 1 &amp; 3, Red Gully Pipeline and Processing Facility</t>
  </si>
  <si>
    <t xml:space="preserve">Devil Creek and Varanus  </t>
  </si>
  <si>
    <t>AWE Ltd</t>
  </si>
  <si>
    <t>ABS 5368.0</t>
  </si>
  <si>
    <t>Merchandise Exports by State</t>
  </si>
  <si>
    <t xml:space="preserve">New Deposits (Quarterly average over </t>
  </si>
  <si>
    <t xml:space="preserve">Existing Deposits (Quarterly average over </t>
  </si>
  <si>
    <t xml:space="preserve">Total (Quarterly average over </t>
  </si>
  <si>
    <t>Percentage</t>
  </si>
  <si>
    <t>Other (Excl. Exploration)</t>
  </si>
  <si>
    <t>ABS data showing the breakdown of WA's exploration spend by commodity and vs the rest of Australia</t>
  </si>
  <si>
    <t>Historic US: Australian dollar exchange rates.</t>
  </si>
  <si>
    <t>Estimates of Western Australian mineral and petroleum exports as well as Australian and Western Australian merchandise exports.</t>
  </si>
  <si>
    <t>Iron ore notes:</t>
  </si>
  <si>
    <t>Crude oil</t>
  </si>
  <si>
    <t>Iron ore fines China 62%</t>
  </si>
  <si>
    <t>Iron ore fines China 58%</t>
  </si>
  <si>
    <t>Iron ore prices above are based on an average spot price per tonne CFR China</t>
  </si>
  <si>
    <t>Exchange rates- WA Treasury Corporation</t>
  </si>
  <si>
    <t>Oil - combination of Brent, WTI and Tapis provided by WA Treasury Corporation</t>
  </si>
  <si>
    <t>Monthly exchange rates</t>
  </si>
  <si>
    <t>Monthly exchange rates, US$:1A$</t>
  </si>
  <si>
    <t>Trade-weighted index</t>
  </si>
  <si>
    <t>RBA Iindex of non-rural commodity prices</t>
  </si>
  <si>
    <t>Major Western Australian commodities</t>
  </si>
  <si>
    <t>Crude oil and condensate</t>
  </si>
  <si>
    <t>Natural gas (inc. LNG feedstock and CSG)</t>
  </si>
  <si>
    <t>Merchandise exports</t>
  </si>
  <si>
    <t>Mineral and energy exports</t>
  </si>
  <si>
    <t>Private new capital investment</t>
  </si>
  <si>
    <t>Exploration expenditure (mineral)</t>
  </si>
  <si>
    <t>Exploration expenditure (petroleum)</t>
  </si>
  <si>
    <t>Mining investment</t>
  </si>
  <si>
    <t>Economic impact</t>
  </si>
  <si>
    <t>Percentage of total mineral and petroleum exports</t>
  </si>
  <si>
    <t>Merchandise exports from WA</t>
  </si>
  <si>
    <t>Percentage of total</t>
  </si>
  <si>
    <t>Export value (A$ million)</t>
  </si>
  <si>
    <t>WA share of Australian Investment</t>
  </si>
  <si>
    <t>Source: DMP, USGS, Office of the Chief Economist, EnergyQuest, International Aluminium Institute, GIIGNL (International Group of Liquefied Natural Gas Importers)</t>
  </si>
  <si>
    <t>Last 10 calendar years</t>
  </si>
  <si>
    <t>Last 10 financial years</t>
  </si>
  <si>
    <t>Mining investment (ABS)</t>
  </si>
  <si>
    <t>New capital expenditure (ABS)</t>
  </si>
  <si>
    <t>WA share of Australian expenditure</t>
  </si>
  <si>
    <t>Mineral exploration expenditure ($m) (ABS)</t>
  </si>
  <si>
    <t>Whole of Australia</t>
  </si>
  <si>
    <t xml:space="preserve">Rest of Australia </t>
  </si>
  <si>
    <t>Australian exploration expenditure  (A$ Million)
New deposits</t>
  </si>
  <si>
    <t>Australian exploration expenditure (A$ Million)
Existing deposits</t>
  </si>
  <si>
    <t>Australian metres drilled ('000)
Total deposits</t>
  </si>
  <si>
    <t>Australian metres drilled ('000)
New deposits</t>
  </si>
  <si>
    <t>Australian metres drilled ('000)
Existing deposits</t>
  </si>
  <si>
    <t>Petroleum exploration expenditure (ABS)</t>
  </si>
  <si>
    <t>A note about iron ore royalties</t>
  </si>
  <si>
    <t>Included in the State’s royalty receipts for iron ore is an additional lease rental amount which is currently applied under iron ore State Agreement Acts and the Mining Act. The rate is 25 cents per tonne. In the case of some older Agreement Acts, the rate is 25 cents per imperial ton.</t>
  </si>
  <si>
    <t>The additional lease rental applies to iron ore obtained from a mining lease following 15 years from the date the iron ore was first obtained from the mining tenement, by the lessee.</t>
  </si>
  <si>
    <t>Historic royalty revenue by commodity (financial year)</t>
  </si>
  <si>
    <t>Total royalty receipts (excl. NWS Grants)</t>
  </si>
  <si>
    <t>Total revenue</t>
  </si>
  <si>
    <t>Historic royalty revenue by commodity (calendar year)</t>
  </si>
  <si>
    <t>Cumulative total</t>
  </si>
  <si>
    <t>Total royalty receipts</t>
  </si>
  <si>
    <t>Average number of individuals employed in the WA mineral sector - by site</t>
  </si>
  <si>
    <t>Average number of persons employed in the WA petroleum industry</t>
  </si>
  <si>
    <r>
      <t xml:space="preserve">Onshore facilities and pipelines covered under </t>
    </r>
    <r>
      <rPr>
        <b/>
        <i/>
        <sz val="11"/>
        <rFont val="Calibri"/>
        <family val="2"/>
        <scheme val="minor"/>
      </rPr>
      <t>Petroleum Pipelines Act 1969, Petroleum (Submerged Lands) Act 1982 and Petroleum Geothermal Energy Resources Act 1967</t>
    </r>
  </si>
  <si>
    <t>WA Mining Industry Direct Employment by Financial Year</t>
  </si>
  <si>
    <t>Mining Reported Total numbers (HYs)</t>
  </si>
  <si>
    <t>SOURCE: Safety Regulation System (SRS), Resources Safety Division, Department of Mines and Petroleum for minerals data and monthly status reports submitted to the department for Western Australia onshore petroleum facilities and pipelines data.  Figures include employees as well as contractors.</t>
  </si>
  <si>
    <t>Comparative summary of the prices of major Western Australian commodities between the past two calendar years.</t>
  </si>
  <si>
    <t>Comparison 2015 and 2016</t>
  </si>
  <si>
    <t>Quick resources facts - 2016</t>
  </si>
  <si>
    <t>Western Australian GSP 2015-16</t>
  </si>
  <si>
    <t>Australia GDP 2015-16</t>
  </si>
  <si>
    <t>Hong Kong (SAR of China)</t>
  </si>
  <si>
    <t>Germany</t>
  </si>
  <si>
    <t>Total Australian Exports 2016</t>
  </si>
  <si>
    <t>Mineral and petroleum exports</t>
  </si>
  <si>
    <t>MS - ABS fob data which is mostly bagged product (Ilmenite TZI)</t>
  </si>
  <si>
    <t>MS - US$ prices are simple estimates based on A$ price and annual average exchange rate.</t>
  </si>
  <si>
    <t xml:space="preserve">Total Direct Employment in WA Mining Sector </t>
  </si>
  <si>
    <t>2016 Major commodity production - Western Australia's share of global production</t>
  </si>
  <si>
    <t>Mineral exploration expenditure by State ($m) 2016</t>
  </si>
  <si>
    <t>various fields and pipelines</t>
  </si>
  <si>
    <t>The Esperance Pipeline Company Pty Ltd</t>
  </si>
  <si>
    <t>KEGP</t>
  </si>
  <si>
    <t>various laterals and pipelines</t>
  </si>
  <si>
    <t>WA Gas Networks</t>
  </si>
  <si>
    <t>Mandurah Gas Lateral</t>
  </si>
  <si>
    <t>Lion Ore</t>
  </si>
  <si>
    <t>Thunderbox Lateral</t>
  </si>
  <si>
    <t>Ensco Australia Pty Ltd</t>
  </si>
  <si>
    <t>Ensco 107</t>
  </si>
  <si>
    <t>Energy Generation Pty Ltd</t>
  </si>
  <si>
    <t>Leonora Lateral</t>
  </si>
  <si>
    <t>Rare Earth Oxides</t>
  </si>
  <si>
    <t>Source: ABS (please refer to note below)</t>
  </si>
  <si>
    <t>Employment by commodity</t>
  </si>
  <si>
    <t>Australian Bureau of Statistics (ABS), 5625.0 Private New Capital Expenditure and Expected Expenditure, Australia, Table 1A - Actual Expenditure ;  Total (State) ;  Mining ;  Total (Type of Asset - Detailed Level) ;  Current Price ;</t>
  </si>
  <si>
    <t>Other *</t>
  </si>
  <si>
    <t>* Excludes diamonds and manufactured products.</t>
  </si>
  <si>
    <t>All data is for the 2016 calendar year unless otherwise stated.</t>
  </si>
  <si>
    <t>Australian Bureau of Statistics (ABS), 8412.0 Mineral and Petroleum Exploration, Australia, Dec 2016, Table 4 - MINERAL EXPLORATION, (Other than for petroleum) - Expenditure by state and territory</t>
  </si>
  <si>
    <t xml:space="preserve">Australian Bureau of Statistics (ABS), 8412.0 Mineral and Petroleum Exploration, Australia, Dec 2016, Table 7 - PETROLEUM EXPLORATION, Expenditure by state and territory </t>
  </si>
  <si>
    <t>Australian Bureau of Statistics (ABS), 5368.0 - International Trade in Goods and Services, Australia, Jan 2017, Table 15a - MERCHANDISE EXPORTS, State and Australia, FOB Value </t>
  </si>
  <si>
    <t>Producer</t>
  </si>
  <si>
    <t>Project</t>
  </si>
  <si>
    <t>Primary Commodity</t>
  </si>
  <si>
    <t>2015 NoI</t>
  </si>
  <si>
    <t>2015 FTE</t>
  </si>
  <si>
    <t>2016 NoI</t>
  </si>
  <si>
    <t>2016 FTE</t>
  </si>
  <si>
    <t>North Pole Barite</t>
  </si>
  <si>
    <t>Worsley</t>
  </si>
  <si>
    <t>Jarrahdale - Kwinana</t>
  </si>
  <si>
    <t>Wagerup-Pinjarra / Alcoa</t>
  </si>
  <si>
    <t>Pinjarra Gallium Extraction Plant</t>
  </si>
  <si>
    <t>MINTECH CHEMICAL INDUSTRIES PTY LTD</t>
  </si>
  <si>
    <t>Rockingham Zirconia Plant</t>
  </si>
  <si>
    <t>DORAL FUSED MATERIALS PTY LTD</t>
  </si>
  <si>
    <t>Rockingham Fused Alumina - Zirconia</t>
  </si>
  <si>
    <t>PROCESS MINERALS INTERNATIONAL PTY LTD</t>
  </si>
  <si>
    <t>Coobina</t>
  </si>
  <si>
    <t>Lake Nerramyne</t>
  </si>
  <si>
    <t>Watheroo Clays</t>
  </si>
  <si>
    <t>Cardup - Keysbrook - Toodyay / Austral Bricks</t>
  </si>
  <si>
    <t>Upper Swan - Red Hill / Midland</t>
  </si>
  <si>
    <t>Wickepin</t>
  </si>
  <si>
    <t>Bullsbrook - Toodyay / BGC</t>
  </si>
  <si>
    <t>Collie / Premier</t>
  </si>
  <si>
    <t>Collie / Lanco</t>
  </si>
  <si>
    <t>Pippingarra Quarry / North West Quarries</t>
  </si>
  <si>
    <t>Kalgoorlie - Boulder / Holcim</t>
  </si>
  <si>
    <t>Kununurra / JSW</t>
  </si>
  <si>
    <t>Mt Regal / Hanson Constructions</t>
  </si>
  <si>
    <t>Waterbank Station Sand</t>
  </si>
  <si>
    <t>Port Hedland / BGC</t>
  </si>
  <si>
    <t>Newman Aggregate / Holcim</t>
  </si>
  <si>
    <t>Turner River Aggregate / Holcim</t>
  </si>
  <si>
    <t>Chidlow / Tuma</t>
  </si>
  <si>
    <t>Walkaway / Holcim</t>
  </si>
  <si>
    <t>Coconut Wells - Broome</t>
  </si>
  <si>
    <t>Albany - Willyung / Holcim</t>
  </si>
  <si>
    <t>Nickol Bay / Holcim</t>
  </si>
  <si>
    <t>Byford / Hanson Constructions</t>
  </si>
  <si>
    <t>Gelorup - Bunbury / Holcim</t>
  </si>
  <si>
    <t>Gosnells / Holcim</t>
  </si>
  <si>
    <t>Herne Hill / Hanson Constructions</t>
  </si>
  <si>
    <t>Maddington - Orange Grove / Boral</t>
  </si>
  <si>
    <t>Quinns Rock Sand / RGC</t>
  </si>
  <si>
    <t>Kununurra / Guerinoni</t>
  </si>
  <si>
    <t>Greenough / WA Limestone</t>
  </si>
  <si>
    <t>Esperance / Holcim</t>
  </si>
  <si>
    <t>The Lakes / BGC Contracting</t>
  </si>
  <si>
    <t>Tom Price Gravel and Aggregate</t>
  </si>
  <si>
    <t>Learmonth / Hanson Constructions</t>
  </si>
  <si>
    <t>Pilbara Area / Boral</t>
  </si>
  <si>
    <t>Wickham / Robe River</t>
  </si>
  <si>
    <t>Port Hedland Sand and Gravel / Young</t>
  </si>
  <si>
    <t>Nillibubbaca - Yeeda / Kimberley Quarry</t>
  </si>
  <si>
    <t>Hyden East</t>
  </si>
  <si>
    <t>Turner River East Sand / Boral</t>
  </si>
  <si>
    <t>Postans - Kwinana / Danehill-Italia</t>
  </si>
  <si>
    <t>Peel Estate / Cook</t>
  </si>
  <si>
    <t>Upper Swan - Walyunga / Stargaze</t>
  </si>
  <si>
    <t>Mt Regal / Boral</t>
  </si>
  <si>
    <t>Carubumya Well</t>
  </si>
  <si>
    <t>Cawse / Scorpion</t>
  </si>
  <si>
    <t>Carbarup Aggregate / Hanson</t>
  </si>
  <si>
    <t>Winchester</t>
  </si>
  <si>
    <t>Moore River Sand and Limestone</t>
  </si>
  <si>
    <t>Byford / WA Bluemetal</t>
  </si>
  <si>
    <t>Toodyay / Vernice</t>
  </si>
  <si>
    <t>Bullsbrook / Congiu</t>
  </si>
  <si>
    <t>Flynn Drive - Neerabup / Carramar Sand</t>
  </si>
  <si>
    <t>Quarry Rd - Narrogin</t>
  </si>
  <si>
    <t>Fitzroy Crossing / Ramirez</t>
  </si>
  <si>
    <t>Gelorup / Hanson Construction</t>
  </si>
  <si>
    <t>Nowergup Sand / Northsands</t>
  </si>
  <si>
    <t>Lennard and May Rivers / Martin</t>
  </si>
  <si>
    <t>Thomas Rd - Kwinana / Waste Stream</t>
  </si>
  <si>
    <t>Christmas Island Limestone</t>
  </si>
  <si>
    <t>Kambalda / Little</t>
  </si>
  <si>
    <t>Scrubby Hill Limestone / Carnarvon Hardrock</t>
  </si>
  <si>
    <t>Myalup / MGM</t>
  </si>
  <si>
    <t>Seven Mile Hill / Boral</t>
  </si>
  <si>
    <t>Ravensthorpe Aggregate / BGC</t>
  </si>
  <si>
    <t>Pilbara Rail Construction / BHPB</t>
  </si>
  <si>
    <t>Kununurra / Boral</t>
  </si>
  <si>
    <t>Waroona / Premium</t>
  </si>
  <si>
    <t>Albany Construction Materials / AD Contractors</t>
  </si>
  <si>
    <t>Old Coast Road/ NLG</t>
  </si>
  <si>
    <t>Onslow / NTC</t>
  </si>
  <si>
    <t>Victoria Highway - Kununurra</t>
  </si>
  <si>
    <t>Gidgegannup - Reen Rd Bauxitic Gravel</t>
  </si>
  <si>
    <t>Harvey-Bunbury Sand and Gravel / Catalano</t>
  </si>
  <si>
    <t>Eagle Bay Sand &amp; Gravel</t>
  </si>
  <si>
    <t>Gelorup - Ducane Road / Geographe Civil</t>
  </si>
  <si>
    <t>Trig Hill - Pippingarra Rd / Spinifex</t>
  </si>
  <si>
    <t>South West Operations  / Carbone</t>
  </si>
  <si>
    <t>Bunbury - Harvey / Versaci</t>
  </si>
  <si>
    <t>Moonyoonooka / Pirone</t>
  </si>
  <si>
    <t>Glenbourne Sand</t>
  </si>
  <si>
    <t>Busselton / Vasse Transport</t>
  </si>
  <si>
    <t>Coalfields Highway / APH</t>
  </si>
  <si>
    <t>Metricup Sand / Cook Industrial Minerals</t>
  </si>
  <si>
    <t>Caraban Limestone / Caraban Limestone and Sand</t>
  </si>
  <si>
    <t>Gascoyne River / Sweetman</t>
  </si>
  <si>
    <t>Gascoyne River Sand / Wormall</t>
  </si>
  <si>
    <t>Maralla Road - Ellenbrook Silica Sand</t>
  </si>
  <si>
    <t>Boallia Road Sand</t>
  </si>
  <si>
    <t>Turner River / Dumpna</t>
  </si>
  <si>
    <t>Chapman Valley / Catalano</t>
  </si>
  <si>
    <t>South West Operations / Bluestripe</t>
  </si>
  <si>
    <t>Fields Find Dimension Stone</t>
  </si>
  <si>
    <t>Abercorn Road - Chidlow</t>
  </si>
  <si>
    <t>Maitland River Sand / Karratha Earthmoving</t>
  </si>
  <si>
    <t>Port Hedland / Stirling-Swan</t>
  </si>
  <si>
    <t>Mt Regal / Achillies-Fox</t>
  </si>
  <si>
    <t>Mt Marvel</t>
  </si>
  <si>
    <t>Tarmoola Aggregate / MLG Oz</t>
  </si>
  <si>
    <t>Ashburton Sand and Shingle / Onslow Resources</t>
  </si>
  <si>
    <t>Toodyay Quartzite / Longford</t>
  </si>
  <si>
    <t>Ambergate Road Sand</t>
  </si>
  <si>
    <t>Scahill Sand</t>
  </si>
  <si>
    <t>Arrino Sand</t>
  </si>
  <si>
    <t>Exmouth Sand / Exmouth Civil</t>
  </si>
  <si>
    <t>Range Aggregate / Onslow Metals</t>
  </si>
  <si>
    <t>Tianco Sand</t>
  </si>
  <si>
    <t>Clackline Road Gravel / Jones</t>
  </si>
  <si>
    <t>Capel River / Integral Holdings</t>
  </si>
  <si>
    <t>Ashburton River North / Quarry Park</t>
  </si>
  <si>
    <t>Jarrahdale / Redire</t>
  </si>
  <si>
    <t>Onslow Camp Dunes / Onslow Resources</t>
  </si>
  <si>
    <t>Creighton Rd / El Paso</t>
  </si>
  <si>
    <t>Parry Range–Maroonah Marbles</t>
  </si>
  <si>
    <t>Wagin / Great Southern Quarries</t>
  </si>
  <si>
    <t>Indee Sand</t>
  </si>
  <si>
    <t>Avon Sands</t>
  </si>
  <si>
    <t>Wandena</t>
  </si>
  <si>
    <t>Warrawanda / Redstone</t>
  </si>
  <si>
    <t>Dowerin Quarry</t>
  </si>
  <si>
    <t>Albany / Armogedin</t>
  </si>
  <si>
    <t>Brookton Sand / Bassett</t>
  </si>
  <si>
    <t>Red Hill / North West Quarries</t>
  </si>
  <si>
    <t>Busselton Sand / Piggott</t>
  </si>
  <si>
    <t>Hebb Rd Sand / Sloan</t>
  </si>
  <si>
    <t>West Coolup / Urban Resources</t>
  </si>
  <si>
    <t>Mount Minnie Sand</t>
  </si>
  <si>
    <t>Turner River / North</t>
  </si>
  <si>
    <t>Pithara Aggregate</t>
  </si>
  <si>
    <t>Collie / Coalcliff</t>
  </si>
  <si>
    <t>Cowaramup / Leeuwin Civil</t>
  </si>
  <si>
    <t>Lake Clifton / Cougar</t>
  </si>
  <si>
    <t>Margaret River / Margaret River Earth Cartage</t>
  </si>
  <si>
    <t>Rodney John Ford &amp; Karl Graeme Brandenburg</t>
  </si>
  <si>
    <t>Gascoyne River / Ford-Brandenburg</t>
  </si>
  <si>
    <t>Gingin / Tuss</t>
  </si>
  <si>
    <t>Geraldton / Patience</t>
  </si>
  <si>
    <t>King River / Palmer</t>
  </si>
  <si>
    <t>Hope Valley / Urban Resources</t>
  </si>
  <si>
    <t>Golden Grove</t>
  </si>
  <si>
    <t>Nifty</t>
  </si>
  <si>
    <t>Whim Creek - Mons Cupri</t>
  </si>
  <si>
    <t>Teutonic Bore - Jaguar</t>
  </si>
  <si>
    <t>Paroo Station</t>
  </si>
  <si>
    <t>DeGrussa - Doolgunna / Sandfire</t>
  </si>
  <si>
    <t>Qube Container Facility Esperance</t>
  </si>
  <si>
    <t>Argyle Diamond</t>
  </si>
  <si>
    <t>Ellendale</t>
  </si>
  <si>
    <t>Wangara - Buckingham Dr Laboratory</t>
  </si>
  <si>
    <t>Red Gum Spongolite</t>
  </si>
  <si>
    <t>Yanchep Reconstituted Stone</t>
  </si>
  <si>
    <t>Fraser Range Granite-Dolerite</t>
  </si>
  <si>
    <t>Hopkins Rd - Nowergup / Limestone Building Block Co.</t>
  </si>
  <si>
    <t>Karratha Stone / Bell</t>
  </si>
  <si>
    <t>Donnybrook Sandstone / Cosmic</t>
  </si>
  <si>
    <t>Wattleup / WA Limestone</t>
  </si>
  <si>
    <t>Dayrell Rd - Nowergup / Dayrell</t>
  </si>
  <si>
    <t xml:space="preserve">Nanutarra Marbles </t>
  </si>
  <si>
    <t>Postans / Stoneridge</t>
  </si>
  <si>
    <t>Donnybrook Stone / Jie Yang</t>
  </si>
  <si>
    <t>Wesco Rd - Nowergup / Sword Asset</t>
  </si>
  <si>
    <t>Orange Grove - Bridgetown</t>
  </si>
  <si>
    <t>Donnybrook Stone / Ruso</t>
  </si>
  <si>
    <t>Menzies Emerald - Wonder Well</t>
  </si>
  <si>
    <t>Yerilla - Boyce Creek Chrysoprase</t>
  </si>
  <si>
    <t>Mt Regal Chert-Aggregate / Heymans &amp; Henry</t>
  </si>
  <si>
    <t>Duketon / Regis Resources</t>
  </si>
  <si>
    <t>Central - Southern Cross</t>
  </si>
  <si>
    <t>Tropicana</t>
  </si>
  <si>
    <t>Beatons Creek JV</t>
  </si>
  <si>
    <t>Bamboo Creek Gold</t>
  </si>
  <si>
    <t>Coolgardie Gold / Focus</t>
  </si>
  <si>
    <t>Central Murchison Gold / Westgold</t>
  </si>
  <si>
    <t>Binduli</t>
  </si>
  <si>
    <t>Broads Dam South - Blue Funnel</t>
  </si>
  <si>
    <t>Boddington Gold</t>
  </si>
  <si>
    <t>Bullabulling</t>
  </si>
  <si>
    <t>Snake Well</t>
  </si>
  <si>
    <t>Central Norseman</t>
  </si>
  <si>
    <t>Comet Vale - Sand Queen</t>
  </si>
  <si>
    <t>Burbanks / Kidman</t>
  </si>
  <si>
    <t>Darlot</t>
  </si>
  <si>
    <t>Davyhurst - Lady Ida - Mulline - Riverina - Siberia Gold</t>
  </si>
  <si>
    <t>Agnew - Emu</t>
  </si>
  <si>
    <t>Golden Mile / KCGM</t>
  </si>
  <si>
    <t>Fortnum</t>
  </si>
  <si>
    <t>Gum Creek - Gidgee Gold</t>
  </si>
  <si>
    <t>Blue Spec / Novo</t>
  </si>
  <si>
    <t>Granny Smith</t>
  </si>
  <si>
    <t>Deflector</t>
  </si>
  <si>
    <t>Higginsville</t>
  </si>
  <si>
    <t>Mt Magnet</t>
  </si>
  <si>
    <t>Kambalda - St Ives</t>
  </si>
  <si>
    <t>Tarmoola - King of the Hills</t>
  </si>
  <si>
    <t>Devon - Linden / GME</t>
  </si>
  <si>
    <t>Gibraltar / Ryder</t>
  </si>
  <si>
    <t>Marvel Loch - Southern Cross</t>
  </si>
  <si>
    <t>Leonora / Kin</t>
  </si>
  <si>
    <t>Brightstar / Stone</t>
  </si>
  <si>
    <t>Laverton - Barnicoat - Karridale - Merolia / Focus</t>
  </si>
  <si>
    <t>Paulsens</t>
  </si>
  <si>
    <t>Yandal / Echo 2</t>
  </si>
  <si>
    <t>Randalls - Mt Monger</t>
  </si>
  <si>
    <t>Mt Morgans</t>
  </si>
  <si>
    <t>South Kalgoorlie Operations</t>
  </si>
  <si>
    <t>Kookynie - Orient Well</t>
  </si>
  <si>
    <t>Paddington - Mt Pleasant</t>
  </si>
  <si>
    <t>Kathleen Valley Gold / Ramelius</t>
  </si>
  <si>
    <t>Gwalia - Leonora</t>
  </si>
  <si>
    <t>Telfer / Newcrest</t>
  </si>
  <si>
    <t>Murchison / Silver Lake</t>
  </si>
  <si>
    <t>Western Queen - Warda Warra</t>
  </si>
  <si>
    <t>Edna May - Westonia</t>
  </si>
  <si>
    <t>Yilgangi Queen</t>
  </si>
  <si>
    <t>Plutonic Gold</t>
  </si>
  <si>
    <t>Anglo Saxon - Trouser Legs</t>
  </si>
  <si>
    <t>Mt Ida Gold</t>
  </si>
  <si>
    <t>Silver Swan - Black Swan</t>
  </si>
  <si>
    <t>British King</t>
  </si>
  <si>
    <t>Kalgoorlie Mint</t>
  </si>
  <si>
    <t>Golden Dragon</t>
  </si>
  <si>
    <t>Clampton</t>
  </si>
  <si>
    <t>Golden Vale - Copperfield</t>
  </si>
  <si>
    <t>Gordon - Sirdar</t>
  </si>
  <si>
    <t>Phillips Find</t>
  </si>
  <si>
    <t>The Mount</t>
  </si>
  <si>
    <t>Pennys Find</t>
  </si>
  <si>
    <t>Warriedar Dryblowing / Capeview</t>
  </si>
  <si>
    <t>Perth Mint</t>
  </si>
  <si>
    <t>Paynes Find / Paynes Find Gold</t>
  </si>
  <si>
    <t>Halls Creek - Lamboo Gold</t>
  </si>
  <si>
    <t>Lindsays</t>
  </si>
  <si>
    <t>Kirkalocka</t>
  </si>
  <si>
    <t>Dulcie - Fortuna - Parker Range</t>
  </si>
  <si>
    <t>Kalgoorlie - Hunter St Goldroom</t>
  </si>
  <si>
    <t>Mt Dimer / Taipan</t>
  </si>
  <si>
    <t>Teal - Peyes Farm</t>
  </si>
  <si>
    <t>Sunrise Dam</t>
  </si>
  <si>
    <t>Gnows Nest</t>
  </si>
  <si>
    <t>Kundana East</t>
  </si>
  <si>
    <t>Jundee - Nimary</t>
  </si>
  <si>
    <t>Munarra Gully</t>
  </si>
  <si>
    <t>Menzies Battery</t>
  </si>
  <si>
    <t>Castle Hill / Evolution</t>
  </si>
  <si>
    <t>Nullagine / Millennium</t>
  </si>
  <si>
    <t>Ulysses Gold</t>
  </si>
  <si>
    <t>Carosue Dam - Khartoum</t>
  </si>
  <si>
    <t>Victory-Buttercup</t>
  </si>
  <si>
    <t>Indee Gold</t>
  </si>
  <si>
    <t>O'Conner - Carbon Stripping Plant</t>
  </si>
  <si>
    <t>Sandstone / Middle Island</t>
  </si>
  <si>
    <t>Greenfields Plant / FMR</t>
  </si>
  <si>
    <t>Burbanks Mill / Maximus</t>
  </si>
  <si>
    <t>Exterra Resources Pty Ltd</t>
  </si>
  <si>
    <t>Linden - Second Fortune / Exterra</t>
  </si>
  <si>
    <t>Central Tanami JV</t>
  </si>
  <si>
    <t>Thunderbox Gold</t>
  </si>
  <si>
    <t>Matilda</t>
  </si>
  <si>
    <t>Station Peak</t>
  </si>
  <si>
    <t>Murchison / Monument</t>
  </si>
  <si>
    <t>Kalgoorlie North</t>
  </si>
  <si>
    <t>Boorara / Macphersons</t>
  </si>
  <si>
    <t>Jumbulyer Prospecting</t>
  </si>
  <si>
    <t>Pithara - Dalwallinu</t>
  </si>
  <si>
    <t>Andy Well - Meekatharra North</t>
  </si>
  <si>
    <t>Barlee</t>
  </si>
  <si>
    <t>Pertha M</t>
  </si>
  <si>
    <t>Volunteer Flats / Western Mining</t>
  </si>
  <si>
    <t>Vivien</t>
  </si>
  <si>
    <t>Jaurdi - Cammi's Creek</t>
  </si>
  <si>
    <t>Young Australian - Munarra Gully North</t>
  </si>
  <si>
    <t>Royal Standard</t>
  </si>
  <si>
    <t>Mulwarrie / Goldfield</t>
  </si>
  <si>
    <t>Yundamindera Tailings Reprocessing</t>
  </si>
  <si>
    <t>Corinthia / Corinthian Mining</t>
  </si>
  <si>
    <t>Ora Banda / Norton</t>
  </si>
  <si>
    <t>Mungari / Evolution</t>
  </si>
  <si>
    <t>Mt Palmer Alluvials</t>
  </si>
  <si>
    <t xml:space="preserve">GBF Paris </t>
  </si>
  <si>
    <t>Wycheproof</t>
  </si>
  <si>
    <t>Lake Goorly Gypsum / Bywaters</t>
  </si>
  <si>
    <t>Cowcowing Lakes South - Wyalkatchem / Westdeen</t>
  </si>
  <si>
    <t>Lake Hillman Gypsum / Lake Hillman</t>
  </si>
  <si>
    <t>Lake Cowan Gypsum / Whitfield</t>
  </si>
  <si>
    <t>Lake Cowcowing North - West Dukin / Lake Hillman</t>
  </si>
  <si>
    <t>Jurien Bay North Gypsum</t>
  </si>
  <si>
    <t>Capel / Iluka</t>
  </si>
  <si>
    <t>Gingin - Muchea / Iluka</t>
  </si>
  <si>
    <t>Cooljarloo / Tronox</t>
  </si>
  <si>
    <t>Eneabba / Iluka</t>
  </si>
  <si>
    <t>Beenup - Karridale</t>
  </si>
  <si>
    <t>Port Gregory Garnet</t>
  </si>
  <si>
    <t>Bunbury Area Operations / Cristal</t>
  </si>
  <si>
    <t>Dardanup / Doral</t>
  </si>
  <si>
    <t>Keysbrook / MZI</t>
  </si>
  <si>
    <t>Carina</t>
  </si>
  <si>
    <t>Sino - Cape Preston Iron</t>
  </si>
  <si>
    <t>Goldsworthy Iron Ore</t>
  </si>
  <si>
    <t>Robe River - Deepdale</t>
  </si>
  <si>
    <t>Koolyanobbing Iron</t>
  </si>
  <si>
    <t>Marillana Creek - Yandi / BHPB</t>
  </si>
  <si>
    <t>Jimblebar-Wheelarra-Hashimoto / BHPB</t>
  </si>
  <si>
    <t>Mining Area C</t>
  </si>
  <si>
    <t>Mt Gibson Iron</t>
  </si>
  <si>
    <t>Turner Syncline West</t>
  </si>
  <si>
    <t>Newman / BHPB</t>
  </si>
  <si>
    <t>Hope Downs Joint Venture</t>
  </si>
  <si>
    <t>West Angelas</t>
  </si>
  <si>
    <t>Koolan Island</t>
  </si>
  <si>
    <t>Yandicoogina / HI-Yandi</t>
  </si>
  <si>
    <t>Tallering Peak / Mt Gibson</t>
  </si>
  <si>
    <t>Balla Balla</t>
  </si>
  <si>
    <t>Cockatoo Island</t>
  </si>
  <si>
    <t>East Pilbara Iron Ore / FMG</t>
  </si>
  <si>
    <t>Solomon - Greater Solomon</t>
  </si>
  <si>
    <t>Boodarie Iron</t>
  </si>
  <si>
    <t>Ridges Iron Ore</t>
  </si>
  <si>
    <t>Koolanooka &amp; Blue Hills - Mungada / Sinosteel</t>
  </si>
  <si>
    <t>Karara - Blue Hills / Gindalbie</t>
  </si>
  <si>
    <t>Roy Hill Iron Ore</t>
  </si>
  <si>
    <t>Port Hedland Port Operations / BHPB</t>
  </si>
  <si>
    <t>Dampier Port Iron Ore Operations / HI</t>
  </si>
  <si>
    <t>Poondano Iron Ore</t>
  </si>
  <si>
    <t>Nullagine CID</t>
  </si>
  <si>
    <t>Jack Hills</t>
  </si>
  <si>
    <t>Phils Creek / PMI</t>
  </si>
  <si>
    <t>Pardoo / Atlas</t>
  </si>
  <si>
    <t>Greater Mummaloo</t>
  </si>
  <si>
    <t>Herb Elliot Port Operations / FMG</t>
  </si>
  <si>
    <t>Mt Dove - Turner River</t>
  </si>
  <si>
    <t>Spinifex Ridge - Kitty Gap Iron</t>
  </si>
  <si>
    <t>Wodgina Iron / Atlas</t>
  </si>
  <si>
    <t xml:space="preserve">Mt Webber </t>
  </si>
  <si>
    <t>Iron Bridge</t>
  </si>
  <si>
    <t>Iron Valley</t>
  </si>
  <si>
    <t>Tom Price / Rio Tinto</t>
  </si>
  <si>
    <t>Marandoo / Rio Tinto</t>
  </si>
  <si>
    <t>Paraburdoo / Rio Tinto</t>
  </si>
  <si>
    <t>Brockman 4 Area / Rio Tinto</t>
  </si>
  <si>
    <t>Brockman 2 - Nammuldi - Silvergrass - Homestead / Rio Tinto</t>
  </si>
  <si>
    <t>Roy Hill Port Infrastructure and Rail</t>
  </si>
  <si>
    <t>Shine / Mt Gibson</t>
  </si>
  <si>
    <t>Irwin Limesand</t>
  </si>
  <si>
    <t>Coogee / Cockburn</t>
  </si>
  <si>
    <t>Lancelin / Westdeen</t>
  </si>
  <si>
    <t>Cockburn Sound</t>
  </si>
  <si>
    <t>Loongana Lime</t>
  </si>
  <si>
    <t>Denison Limesand / Cockburn</t>
  </si>
  <si>
    <t>Dongara - Denison / Westdeen-Aglime</t>
  </si>
  <si>
    <t>Murat Road Limestone / Exmouth Quarries</t>
  </si>
  <si>
    <t>Susac Lime Plant</t>
  </si>
  <si>
    <t>Lake Clifton / Hull</t>
  </si>
  <si>
    <t>L'Haridon Bight</t>
  </si>
  <si>
    <t>Jurien Lime Sands</t>
  </si>
  <si>
    <t>Green Head Limesand</t>
  </si>
  <si>
    <t>Lake Clifton / WA Limestone</t>
  </si>
  <si>
    <t>Mandurah / Italia</t>
  </si>
  <si>
    <t>Wesco Rd - Nowergup / Adelaide Brighton</t>
  </si>
  <si>
    <t>Jurien Bay / Westdeen</t>
  </si>
  <si>
    <t>Myalup Sand / Lake Preston Lime</t>
  </si>
  <si>
    <t>Ledge Point / Cockburn</t>
  </si>
  <si>
    <t>Boranup Limesand</t>
  </si>
  <si>
    <t>Southgate Limesand</t>
  </si>
  <si>
    <t>Capel Shire / Piacentini</t>
  </si>
  <si>
    <t>Redgate Lime</t>
  </si>
  <si>
    <t>Dooka Limesand / Cunningham</t>
  </si>
  <si>
    <t>Dongara Limesand / Whyatt</t>
  </si>
  <si>
    <t>Grosse Road Limesand / Doust</t>
  </si>
  <si>
    <t>Mason Bay Lime / Hanrahan</t>
  </si>
  <si>
    <t>Esperance Lime / Triple M</t>
  </si>
  <si>
    <t>Watheroo Dolomitic Lime / Mann</t>
  </si>
  <si>
    <t>Nicholas Downs Manganese</t>
  </si>
  <si>
    <t>Woodie Woodie / CML</t>
  </si>
  <si>
    <t>Peak Hill - Horseshoe Manganese</t>
  </si>
  <si>
    <t>Savannah Nickel</t>
  </si>
  <si>
    <t>Widgiemooltha Nickel / Mincor</t>
  </si>
  <si>
    <t>Leinster</t>
  </si>
  <si>
    <t>Murrin Murrin / Minara</t>
  </si>
  <si>
    <t>Windarra / Poseidon</t>
  </si>
  <si>
    <t>Mt Keith / BHP Billiton</t>
  </si>
  <si>
    <t>Forrestania Nickel / Western Areas</t>
  </si>
  <si>
    <t>Radio Hill Nickel</t>
  </si>
  <si>
    <t>Kalgoorlie Nickel Smelter</t>
  </si>
  <si>
    <t>Kwinana Nickel Refinery</t>
  </si>
  <si>
    <t>Lake Johnston / Poseidon</t>
  </si>
  <si>
    <t>Cawse</t>
  </si>
  <si>
    <t>Ravensthorpe - First Quantum</t>
  </si>
  <si>
    <t>Cosmos</t>
  </si>
  <si>
    <t xml:space="preserve">Ken McCloy / Mincor </t>
  </si>
  <si>
    <t>Kambalda / Independence</t>
  </si>
  <si>
    <t>Sinclair</t>
  </si>
  <si>
    <t>Carnilya Hill</t>
  </si>
  <si>
    <t>Kambalda Nickel / RNC</t>
  </si>
  <si>
    <t>Lanfranchi Tramways</t>
  </si>
  <si>
    <t>Nova-Bollinger</t>
  </si>
  <si>
    <t>WMC Nickel Power Supply</t>
  </si>
  <si>
    <t>Christmas Island Phosphate</t>
  </si>
  <si>
    <t>Lake Disappointment (LD) - Karly Palaeovalley Potash</t>
  </si>
  <si>
    <t>Mt Weld REE / Lynas</t>
  </si>
  <si>
    <t>Dampier Salt</t>
  </si>
  <si>
    <t>Port Hedland Salt</t>
  </si>
  <si>
    <t>Lake MacLeod Salt</t>
  </si>
  <si>
    <t>Shark Bay Salt</t>
  </si>
  <si>
    <t>Lake Deborah East Salt</t>
  </si>
  <si>
    <t>Pink Lake</t>
  </si>
  <si>
    <t>Onslow Salt</t>
  </si>
  <si>
    <t>Kemerton Silicon / Simcoa</t>
  </si>
  <si>
    <t>Gnangara Silica Sand / Rocla</t>
  </si>
  <si>
    <t>Kemerton Silica Sand</t>
  </si>
  <si>
    <t>Mindijup / TT Sand</t>
  </si>
  <si>
    <t>Eight Mile Rock Hole</t>
  </si>
  <si>
    <t>Nimbus</t>
  </si>
  <si>
    <t>Three Springs Talc</t>
  </si>
  <si>
    <t>Mt Seabrook Talc</t>
  </si>
  <si>
    <t>Welshpool Plant / Sibelco</t>
  </si>
  <si>
    <t>Bald Hill</t>
  </si>
  <si>
    <t>Greenbushes Tantalum</t>
  </si>
  <si>
    <t>Tabba Tabba - Strelley</t>
  </si>
  <si>
    <t>Wodgina Mining Assets / Mineral Resources</t>
  </si>
  <si>
    <t>Mt Cattlin Spodumene</t>
  </si>
  <si>
    <t>Kelmscott Process Plant / Nagrom</t>
  </si>
  <si>
    <t>Mt Marion Pegmatite</t>
  </si>
  <si>
    <t>Greenbushes Lithium</t>
  </si>
  <si>
    <t>Esperance Port Authority</t>
  </si>
  <si>
    <t>Geraldton Port Authority</t>
  </si>
  <si>
    <t xml:space="preserve">Port Hedland Ports </t>
  </si>
  <si>
    <t>Derby Port</t>
  </si>
  <si>
    <t>Mulga Rock</t>
  </si>
  <si>
    <t>Windimurra Vanadium</t>
  </si>
  <si>
    <t>Baryte</t>
  </si>
  <si>
    <t>Bauxite and Alumina</t>
  </si>
  <si>
    <t>Chemicals</t>
  </si>
  <si>
    <t>Chromite and Platinoids</t>
  </si>
  <si>
    <t>Hudson Marketing Pty Ltd</t>
  </si>
  <si>
    <t>Watheroo Minerals Pty Ltd</t>
  </si>
  <si>
    <t>Boral Bricks Western Australia Pty Ltd</t>
  </si>
  <si>
    <t>W.A. Kaolin Holdings Pty Ltd</t>
  </si>
  <si>
    <t>Brikmakers</t>
  </si>
  <si>
    <t>Premier Coal Limited</t>
  </si>
  <si>
    <t>The Griffin Coal Mining Company Pty Limited</t>
  </si>
  <si>
    <t>North West Quarries Pty Ltd</t>
  </si>
  <si>
    <t>Holcim (Australia) Pty Ltd</t>
  </si>
  <si>
    <t>J.S.W. Holdings Pty. Ltd.</t>
  </si>
  <si>
    <t>P S Connolly Enterprises Pty Ltd</t>
  </si>
  <si>
    <t>Bgc Contracting Pty Ltd</t>
  </si>
  <si>
    <t>Shuttleworth, Martin James</t>
  </si>
  <si>
    <t>Incarta Pty Ltd</t>
  </si>
  <si>
    <t>Boral Resources (W.A.) Ltd</t>
  </si>
  <si>
    <t>R.C.G. Pty Ltd</t>
  </si>
  <si>
    <t>Guerinoni Nominees Pty Ltd</t>
  </si>
  <si>
    <t>Bgc (Australia) Pty Ltd</t>
  </si>
  <si>
    <t>Mobile Concreting Solutions Pty Ltd</t>
  </si>
  <si>
    <t>Norwest Sand &amp; Gravel Pty Ltd</t>
  </si>
  <si>
    <t>B J Young Earthmoving Pty Ltd</t>
  </si>
  <si>
    <t>Kimberley Quarry Pty Ltd</t>
  </si>
  <si>
    <t>Brown, Ronald William</t>
  </si>
  <si>
    <t>Cook Industrial Minerals Pty Ltd</t>
  </si>
  <si>
    <t>Brajkovich Landfill &amp; Recycling Pty Ltd</t>
  </si>
  <si>
    <t>Scorpion Mining Pty Ltd</t>
  </si>
  <si>
    <t>Avago Pty Ltd</t>
  </si>
  <si>
    <t>Moore Sands Resources Pty Ltd</t>
  </si>
  <si>
    <t>The Trustee For Ransberg Unit Trust</t>
  </si>
  <si>
    <t>Vernice Pty Ltd</t>
  </si>
  <si>
    <t>Congiu, Pasquale</t>
  </si>
  <si>
    <t>The Trustee For Borrello Family Trust</t>
  </si>
  <si>
    <t>Castle Equipment Hire Pty Ltd</t>
  </si>
  <si>
    <t>Ramirez, Arnold James</t>
  </si>
  <si>
    <t>Brodan (W.A.) Pty Ltd</t>
  </si>
  <si>
    <t>Martin David</t>
  </si>
  <si>
    <t>Waste Stream Management</t>
  </si>
  <si>
    <t>Acker Pty Ltd</t>
  </si>
  <si>
    <t>N.B. Little &amp; Sons Pty Ltd</t>
  </si>
  <si>
    <t>Carnarvon Hardrock Limestone Quarry Pty Ltd</t>
  </si>
  <si>
    <t>Mgm Limestone Pty Ltd</t>
  </si>
  <si>
    <t>Waroona Resources Pty Ltd</t>
  </si>
  <si>
    <t>A.D. Contractors Pty Ltd</t>
  </si>
  <si>
    <t>Bushbeach Holdings Pty Ltd</t>
  </si>
  <si>
    <t>Ntc Contracting Pty Ltd</t>
  </si>
  <si>
    <t>Plant Hire Services Pty. Ltd.</t>
  </si>
  <si>
    <t>B. &amp; J. Catalano Pty Ltd</t>
  </si>
  <si>
    <t>The Trustee For Avc Miles Testamentary Trust</t>
  </si>
  <si>
    <t>Dean Logistics Pty Ltd</t>
  </si>
  <si>
    <t>Spinifex Crushing &amp; Screening Services Pty Ltd</t>
  </si>
  <si>
    <t>Carbone Bros. Pty Ltd</t>
  </si>
  <si>
    <t>B Versaci Pty Ltd</t>
  </si>
  <si>
    <t>The Trustee For THE ITALO PIRONE FAMILY TRUST</t>
  </si>
  <si>
    <t>Caves Road Sands</t>
  </si>
  <si>
    <t>E.M Streatfield &amp; S.E Streatfield &amp; Trustyfield</t>
  </si>
  <si>
    <t>Aph Contractors Pty Ltd</t>
  </si>
  <si>
    <t>Bcp Materials Pty Ltd</t>
  </si>
  <si>
    <t>The Trustee For THE SWEETMAN NO 2 TRUST</t>
  </si>
  <si>
    <t>Tremor - The Earth's Moving Company Pty Ltd</t>
  </si>
  <si>
    <t>Dawson, Peter Bruce</t>
  </si>
  <si>
    <t>Mine Services &amp; Construction Pty Ltd</t>
  </si>
  <si>
    <t>Bluestripe Pty Ltd</t>
  </si>
  <si>
    <t>Australian Gem Resources Pty Ltd</t>
  </si>
  <si>
    <t>The Trustee For The Great Sand Supplies Trust</t>
  </si>
  <si>
    <t>Karratha Earth Moving And Sand Supplies</t>
  </si>
  <si>
    <t>Midwest Quarries Pty Ltd</t>
  </si>
  <si>
    <t>J Sue &amp; Co</t>
  </si>
  <si>
    <t>The Trustee For Moore Contracting Trust</t>
  </si>
  <si>
    <t>The Trustee For The Spiers Earthworks Trust</t>
  </si>
  <si>
    <t>Onslow Metals Pty Ltd</t>
  </si>
  <si>
    <t>The Trustee For The Gj Lange Family Trust</t>
  </si>
  <si>
    <t>Jones Contracting Pty Ltd</t>
  </si>
  <si>
    <t>Integral Holdings Pty Ltd</t>
  </si>
  <si>
    <t>Quarry Park Pty Ltd</t>
  </si>
  <si>
    <t>Onslow Resources Ltd</t>
  </si>
  <si>
    <t>El Paso Estates Pty Ltd</t>
  </si>
  <si>
    <t>Pilbara Stone Pty Ltd</t>
  </si>
  <si>
    <t>Great Southern Quarries Pty Ltd</t>
  </si>
  <si>
    <t>Paternostro Pty Ltd</t>
  </si>
  <si>
    <t>Redstone Minerals Pty Ltd</t>
  </si>
  <si>
    <t>Armogedin Pty Ltd</t>
  </si>
  <si>
    <t>G &amp; K Bassett</t>
  </si>
  <si>
    <t>The Trustee For The Sloan Family Trust &amp; T.J Sloan</t>
  </si>
  <si>
    <t>Drilline Pty Ltd</t>
  </si>
  <si>
    <t>C &amp; G Group Industries Pty Ltd</t>
  </si>
  <si>
    <t>Four Corners Plant Hire Pty Ltd</t>
  </si>
  <si>
    <t>Leeuwin Civil Pty Ltd</t>
  </si>
  <si>
    <t>Margaret River Earth Cartage Pty Ltd</t>
  </si>
  <si>
    <t>Tuss Group Pty Ltd</t>
  </si>
  <si>
    <t>Patience Bulk Haulage Pty Ltd</t>
  </si>
  <si>
    <t>The Trustee For Palmer Earthmoving Unit Trust</t>
  </si>
  <si>
    <t>Mmg Limited</t>
  </si>
  <si>
    <t>Aditya Birla Minerals Limited</t>
  </si>
  <si>
    <t>Blackrock Metals Pty Ltd</t>
  </si>
  <si>
    <t>Independence Jaguar Limited</t>
  </si>
  <si>
    <t>Rosslyn Hill Mining Pty Ltd</t>
  </si>
  <si>
    <t>Qube Ports Pty Ltd</t>
  </si>
  <si>
    <t>Qube Bulk Pty Ltd</t>
  </si>
  <si>
    <t>Argyle Diamond Mines Pty. Limited.</t>
  </si>
  <si>
    <t>Kimberley Diamond Company Pty Ltd</t>
  </si>
  <si>
    <t>Merlin Diamonds Limited</t>
  </si>
  <si>
    <t>Southern Spongelite Industries Pty Ltd</t>
  </si>
  <si>
    <t>Urbanstone Pty Ltd</t>
  </si>
  <si>
    <t>Dimension Stone Group Australia Pty Ltd</t>
  </si>
  <si>
    <t>Limestone Building Blocks Company Pty. Ltd.</t>
  </si>
  <si>
    <t>Karratha Stone Pty. Ltd.</t>
  </si>
  <si>
    <t>Cosmic Resources Pty Ltd</t>
  </si>
  <si>
    <t>Dayrell Stone Pty Ltd</t>
  </si>
  <si>
    <t>Stone Dimensions Australia Pty Ltd</t>
  </si>
  <si>
    <t>Lunard Pty Ltd</t>
  </si>
  <si>
    <t>Jie Yang Australia Pty Ltd</t>
  </si>
  <si>
    <t>Joystone Australia Pty Ltd</t>
  </si>
  <si>
    <t>Australia Menzies Emerald Pty Ltd</t>
  </si>
  <si>
    <t>Chrysoprase Miners Australia Pty Ltd</t>
  </si>
  <si>
    <t>Karratha Greenstone Pty Ltd</t>
  </si>
  <si>
    <t>Regis Resources Limited</t>
  </si>
  <si>
    <t>Clifton Earthmoving Pty Ltd</t>
  </si>
  <si>
    <t>Anglogold Ashanti Australia Limited</t>
  </si>
  <si>
    <t>Beatons Creek Gold Pty Ltd</t>
  </si>
  <si>
    <t>Big Bell Gold Operations Pty Ltd</t>
  </si>
  <si>
    <t>Paddington Gold Pty Limited</t>
  </si>
  <si>
    <t>Evolution Mining (Phoenix) Pty Limited</t>
  </si>
  <si>
    <t>Newmont Boddington Gold Pty Ltd</t>
  </si>
  <si>
    <t>Norton Gold Fields Ltd</t>
  </si>
  <si>
    <t>Goldfields Technical Services Pty Ltd</t>
  </si>
  <si>
    <t>Central Norseman Gold Corporation Pty Ltd</t>
  </si>
  <si>
    <t>Sand Queen Gold Mines Pty Ltd</t>
  </si>
  <si>
    <t>Coolgardie Mining Company Pty Ltd</t>
  </si>
  <si>
    <t>Darlot Mining Company Pty Ltd</t>
  </si>
  <si>
    <t>Eastern Goldfields Limited</t>
  </si>
  <si>
    <t>Agnew Gold Mining Company Pty Limited</t>
  </si>
  <si>
    <t>Kalgoorlie Consolidated Gold Mines Pty Ltd</t>
  </si>
  <si>
    <t>Aragon Resources Pty Ltd</t>
  </si>
  <si>
    <t>Panoramic Gold Pty Ltd</t>
  </si>
  <si>
    <t>Northwest Resources Limited</t>
  </si>
  <si>
    <t>Gsm Mining Company Pty Ltd</t>
  </si>
  <si>
    <t>Deflector Mining Limited</t>
  </si>
  <si>
    <t>Avoca Resources Pty Ltd</t>
  </si>
  <si>
    <t>Mt Magnet Gold Pty Ltd</t>
  </si>
  <si>
    <t>St Ives Gold Mining Company Pty Limited</t>
  </si>
  <si>
    <t>St Barbara Limited</t>
  </si>
  <si>
    <t>Gme Resources Ltd</t>
  </si>
  <si>
    <t>Lloyd George Mining Pty Ltd</t>
  </si>
  <si>
    <t>Hanking Gold Mining Pty Ltd</t>
  </si>
  <si>
    <t>Kin Mining N.L.</t>
  </si>
  <si>
    <t>Stone Resources Australia Limited</t>
  </si>
  <si>
    <t>Focus Minerals (Laverton) Pty Limited</t>
  </si>
  <si>
    <t>Northern Star Resources Ltd</t>
  </si>
  <si>
    <t>Mko Mines Pty Ltd</t>
  </si>
  <si>
    <t>Golden Mile Milling Pty Ltd</t>
  </si>
  <si>
    <t>Dacian Gold Ltd</t>
  </si>
  <si>
    <t>Nex Metals Explorations Ltd</t>
  </si>
  <si>
    <t>Ramelius Resources Limited</t>
  </si>
  <si>
    <t>Newcrest Mining Limited</t>
  </si>
  <si>
    <t>Silver Lake Resources Limited</t>
  </si>
  <si>
    <t>Evolution Mining Limited</t>
  </si>
  <si>
    <t>Gotta Resources Pty Ltd</t>
  </si>
  <si>
    <t>Hawthorn Resources Limited</t>
  </si>
  <si>
    <t>Mc Verde Minerals Pty Ltd</t>
  </si>
  <si>
    <t>Minjar Gold Pty Ltd</t>
  </si>
  <si>
    <t>C.R Bartle &amp; L.S Mahoney</t>
  </si>
  <si>
    <t>Dawsons Mining Pty Ltd</t>
  </si>
  <si>
    <t>Blue Tiger Mining Pty Ltd</t>
  </si>
  <si>
    <t>Lukah Mining Pty Ltd</t>
  </si>
  <si>
    <t>Empire Resources Limited</t>
  </si>
  <si>
    <t>Capeview Pty Ltd</t>
  </si>
  <si>
    <t>Taylor, Douglas</t>
  </si>
  <si>
    <t>Halls Creek Mining Pty Ltd</t>
  </si>
  <si>
    <t>Kalnorth Gold Mines Limited</t>
  </si>
  <si>
    <t>Dulcie Operations</t>
  </si>
  <si>
    <t>Saxonwood Holdings Pty Ltd</t>
  </si>
  <si>
    <t>Rob Hoppmann Mining Pty Ltd</t>
  </si>
  <si>
    <t>Intermin Resources Limited</t>
  </si>
  <si>
    <t>Quartzvein Mining Pty Ltd</t>
  </si>
  <si>
    <t>Radman Mining Pty Ltd</t>
  </si>
  <si>
    <t>Roxbury Trading Pty Ltd</t>
  </si>
  <si>
    <t>Millennium Minerals Limited</t>
  </si>
  <si>
    <t>Genesis Minerals Limited</t>
  </si>
  <si>
    <t>Saracen Gold Mines Pty Limited</t>
  </si>
  <si>
    <t>Bnm Australia Group Pty Ltd</t>
  </si>
  <si>
    <t>Northwest Nonferrous Australia Mining Pty Ltd</t>
  </si>
  <si>
    <t>Sherwood Engineers Pty. Ltd.</t>
  </si>
  <si>
    <t>Black Oak Minerals Limited</t>
  </si>
  <si>
    <t>Ramelius Milling Services Pty Ltd</t>
  </si>
  <si>
    <t>Saracen Metals Pty Limited</t>
  </si>
  <si>
    <t>Matilda Operations Pty Ltd</t>
  </si>
  <si>
    <t>Monument Gold Operations Pty Ltd</t>
  </si>
  <si>
    <t>Excelsior Gold Limited</t>
  </si>
  <si>
    <t>Andy Well Mining Pty Ltd</t>
  </si>
  <si>
    <t>Beacon Minerals Limited</t>
  </si>
  <si>
    <t>Mobile Gold Mining Pty Ltd</t>
  </si>
  <si>
    <t>Fenton &amp; Martin Mining Developments Pty Ltd</t>
  </si>
  <si>
    <t>Campbell, Ernest Edward</t>
  </si>
  <si>
    <t>Goldfield Argonaut Pty Ltd</t>
  </si>
  <si>
    <t>Sandstone Industries Pty Ltd</t>
  </si>
  <si>
    <t>Corinthian Mining Pty Ltd</t>
  </si>
  <si>
    <t>Evolution Mining (Mungari) Pty Ltd</t>
  </si>
  <si>
    <t>Mt Palmer Gold Pty Ltd</t>
  </si>
  <si>
    <t>Keras (Gold) Australia Pty Ltd</t>
  </si>
  <si>
    <t>Mount Gibson Iron Limited</t>
  </si>
  <si>
    <t>Bc Iron Limited</t>
  </si>
  <si>
    <t>Ib Operations Pty Ltd</t>
  </si>
  <si>
    <t>The Trustee For EVERY FAMILY TRUST</t>
  </si>
  <si>
    <t>Rocla Pty Limited</t>
  </si>
  <si>
    <t>Imi Fabi (Australia) Pty Ltd</t>
  </si>
  <si>
    <t>Galaxy Lithium Australia Limited</t>
  </si>
  <si>
    <t>Austral Bricks (WA) Pty Ltd</t>
  </si>
  <si>
    <t>MMG Limited</t>
  </si>
  <si>
    <t>Rural Stone Company WA Pty Ltd</t>
  </si>
  <si>
    <t>Diatomite and Spongolite</t>
  </si>
  <si>
    <t>Gem &amp; Semi-Precious Stones</t>
  </si>
  <si>
    <t>Abalone (WA) Pty Ltd</t>
  </si>
  <si>
    <t>SJ &amp; AM Clifton</t>
  </si>
  <si>
    <t>DMB Civil &amp; Mining Pty Ltd</t>
  </si>
  <si>
    <t>MR &amp; JL Piggott</t>
  </si>
  <si>
    <t>BM &amp; RV Waters</t>
  </si>
  <si>
    <t>H.M McDonald &amp; L.G McDonald</t>
  </si>
  <si>
    <t>BK Gold Mines Pty Ltd</t>
  </si>
  <si>
    <t>MC Verde Minerals Pty Ltd</t>
  </si>
  <si>
    <t>Farno-McMahon Pty. Ltd.</t>
  </si>
  <si>
    <t>TEC Desert Pty Ltd And TEC Desert No.2 Ltd</t>
  </si>
  <si>
    <t>Silica and Silica Sand</t>
  </si>
  <si>
    <t>Wilbinga / High Manor</t>
  </si>
  <si>
    <t>Haoma Mining NL</t>
  </si>
  <si>
    <t>Mount Magnet South NL</t>
  </si>
  <si>
    <t>ABM Resources NL</t>
  </si>
  <si>
    <t>Mincor Resources NL</t>
  </si>
  <si>
    <t>BHP Billiton WA Iron Ore Mt Newman Pty Ltd</t>
  </si>
  <si>
    <t>BHP Billiton Direct Reduced Iron Pty. Ltd.</t>
  </si>
  <si>
    <t>GMA Garnet Pty Ltd</t>
  </si>
  <si>
    <t>Buckski Holdings Pty Ltd</t>
  </si>
  <si>
    <t>South32 Worsley Alumina Pty Ltd</t>
  </si>
  <si>
    <t>Alcoa Of Australia Limited</t>
  </si>
  <si>
    <t>Anascot Pty Ltd</t>
  </si>
  <si>
    <t>GBF Number 3 Pty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</si>
</sst>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8" formatCode="&quot;$&quot;#,##0.00;[Red]\-&quot;$&quot;#,##0.00"/>
    <numFmt numFmtId="44" formatCode="_-&quot;$&quot;* #,##0.00_-;\-&quot;$&quot;* #,##0.00_-;_-&quot;$&quot;* &quot;-&quot;??_-;_-@_-"/>
    <numFmt numFmtId="43" formatCode="_-* #,##0.00_-;\-* #,##0.00_-;_-* &quot;-&quot;??_-;_-@_-"/>
    <numFmt numFmtId="164" formatCode="0.0000"/>
    <numFmt numFmtId="165" formatCode="0.0"/>
    <numFmt numFmtId="166" formatCode="0.0%"/>
    <numFmt numFmtId="167" formatCode="_-* #,##0_-;\-* #,##0_-;_-* &quot;-&quot;??_-;_-@_-"/>
    <numFmt numFmtId="168" formatCode="_-* #,##0.0000_-;\-* #,##0.0000_-;_-* &quot;-&quot;??_-;_-@_-"/>
    <numFmt numFmtId="169" formatCode="_(* #,##0.00_);_(* \(#,##0.00\);_(* &quot;-&quot;??_);_(@_)"/>
    <numFmt numFmtId="170" formatCode="mmm\-yyyy"/>
    <numFmt numFmtId="171" formatCode="0.000"/>
    <numFmt numFmtId="172" formatCode="0_)"/>
    <numFmt numFmtId="173" formatCode="0;\-0;0;@"/>
    <numFmt numFmtId="174" formatCode="General_)"/>
    <numFmt numFmtId="175" formatCode="0.000000"/>
    <numFmt numFmtId="176" formatCode="#,##0.000000"/>
    <numFmt numFmtId="177" formatCode="&quot;$&quot;#,##0"/>
    <numFmt numFmtId="178" formatCode="_-&quot;$&quot;* #,##0_-;\-&quot;$&quot;* #,##0_-;_-&quot;$&quot;* &quot;-&quot;??_-;_-@_-"/>
    <numFmt numFmtId="179" formatCode="&quot;$&quot;#,##0.00_);[Red]\(&quot;$&quot;#,##0.00\)"/>
    <numFmt numFmtId="180" formatCode="mmm\ dd\,\ yyyy"/>
    <numFmt numFmtId="181" formatCode="0.0_ ;[Red]\-0.0\ "/>
    <numFmt numFmtId="182" formatCode="_-* #,##0.0_-;\-* #,##0.0_-;_-* &quot;-&quot;??_-;_-@_-"/>
    <numFmt numFmtId="183" formatCode="[$-C09]dd\-mmm\-yy;@"/>
    <numFmt numFmtId="184" formatCode="&quot;$&quot;#,##0.00;[Red]&quot;$&quot;#,##0.00"/>
  </numFmts>
  <fonts count="86">
    <font>
      <sz val="11"/>
      <color theme="1"/>
      <name val="Calibri"/>
      <family val="2"/>
      <scheme val="minor"/>
    </font>
    <font>
      <sz val="11"/>
      <color theme="1"/>
      <name val="Calibri"/>
      <family val="2"/>
      <scheme val="minor"/>
    </font>
    <font>
      <sz val="10"/>
      <name val="Arial"/>
      <family val="2"/>
    </font>
    <font>
      <b/>
      <sz val="10"/>
      <name val="Arial"/>
      <family val="2"/>
    </font>
    <font>
      <sz val="10"/>
      <color indexed="10"/>
      <name val="Arial"/>
      <family val="2"/>
    </font>
    <font>
      <sz val="10"/>
      <color rgb="FFFF0000"/>
      <name val="Arial"/>
      <family val="2"/>
    </font>
    <font>
      <b/>
      <sz val="10"/>
      <color rgb="FFFF0000"/>
      <name val="Arial"/>
      <family val="2"/>
    </font>
    <font>
      <u/>
      <sz val="10"/>
      <color theme="10"/>
      <name val="Arial"/>
      <family val="2"/>
    </font>
    <font>
      <sz val="9"/>
      <name val="Arial"/>
      <family val="2"/>
    </font>
    <font>
      <sz val="8"/>
      <color indexed="10"/>
      <name val="Arial"/>
      <family val="2"/>
    </font>
    <font>
      <b/>
      <sz val="11"/>
      <color theme="0"/>
      <name val="Calibri"/>
      <family val="2"/>
      <scheme val="minor"/>
    </font>
    <font>
      <sz val="11"/>
      <color rgb="FFFF0000"/>
      <name val="Calibri"/>
      <family val="2"/>
      <scheme val="minor"/>
    </font>
    <font>
      <b/>
      <sz val="11"/>
      <color theme="1"/>
      <name val="Calibri"/>
      <family val="2"/>
      <scheme val="minor"/>
    </font>
    <font>
      <b/>
      <sz val="10"/>
      <color theme="0"/>
      <name val="Arial"/>
      <family val="2"/>
    </font>
    <font>
      <u/>
      <sz val="11"/>
      <color theme="10"/>
      <name val="Calibri"/>
      <family val="2"/>
      <scheme val="minor"/>
    </font>
    <font>
      <u/>
      <sz val="11"/>
      <color indexed="12"/>
      <name val="Calibri"/>
      <family val="2"/>
      <scheme val="minor"/>
    </font>
    <font>
      <sz val="11"/>
      <name val="Calibri"/>
      <family val="2"/>
      <scheme val="minor"/>
    </font>
    <font>
      <sz val="10"/>
      <color theme="0"/>
      <name val="Arial"/>
      <family val="2"/>
    </font>
    <font>
      <b/>
      <sz val="11"/>
      <color theme="5" tint="-0.249977111117893"/>
      <name val="Calibri"/>
      <family val="2"/>
      <scheme val="minor"/>
    </font>
    <font>
      <sz val="11"/>
      <color theme="0"/>
      <name val="Calibri"/>
      <family val="2"/>
      <scheme val="minor"/>
    </font>
    <font>
      <b/>
      <sz val="12"/>
      <name val="Arial"/>
      <family val="2"/>
    </font>
    <font>
      <b/>
      <sz val="10"/>
      <name val="Helvetica"/>
      <family val="2"/>
    </font>
    <font>
      <sz val="12"/>
      <name val="Arial"/>
      <family val="2"/>
    </font>
    <font>
      <b/>
      <sz val="11"/>
      <name val="Calibri"/>
      <family val="2"/>
      <scheme val="minor"/>
    </font>
    <font>
      <b/>
      <i/>
      <sz val="11"/>
      <name val="Calibri"/>
      <family val="2"/>
      <scheme val="minor"/>
    </font>
    <font>
      <sz val="11"/>
      <color indexed="9"/>
      <name val="Calibri"/>
      <family val="2"/>
      <scheme val="minor"/>
    </font>
    <font>
      <sz val="11"/>
      <color rgb="FF000000"/>
      <name val="Calibri"/>
      <family val="2"/>
      <scheme val="minor"/>
    </font>
    <font>
      <b/>
      <sz val="11"/>
      <color rgb="FFFFFFFF"/>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8"/>
      <color theme="1"/>
      <name val="Calibri"/>
      <family val="2"/>
      <scheme val="minor"/>
    </font>
    <font>
      <b/>
      <sz val="11"/>
      <color rgb="FFFFFFFF"/>
      <name val="Calibri"/>
      <family val="2"/>
      <scheme val="minor"/>
    </font>
    <font>
      <sz val="8"/>
      <name val="Calibri"/>
      <family val="2"/>
      <scheme val="minor"/>
    </font>
    <font>
      <i/>
      <sz val="8"/>
      <name val="Calibri"/>
      <family val="2"/>
      <scheme val="minor"/>
    </font>
    <font>
      <sz val="2"/>
      <color theme="0"/>
      <name val="Arial"/>
      <family val="2"/>
    </font>
    <font>
      <i/>
      <sz val="11"/>
      <color theme="0"/>
      <name val="Calibri"/>
      <family val="2"/>
      <scheme val="minor"/>
    </font>
    <font>
      <sz val="10"/>
      <name val="MS Sans Serif"/>
      <family val="2"/>
    </font>
    <font>
      <sz val="10"/>
      <color indexed="8"/>
      <name val="Arial"/>
      <family val="2"/>
    </font>
    <font>
      <sz val="10"/>
      <name val="Geneva"/>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9"/>
      <name val="Microsoft Sans Serif"/>
      <family val="2"/>
    </font>
    <font>
      <sz val="2"/>
      <color theme="0"/>
      <name val="Calibri"/>
      <family val="2"/>
      <scheme val="minor"/>
    </font>
    <font>
      <b/>
      <vertAlign val="subscript"/>
      <sz val="10"/>
      <color theme="0"/>
      <name val="Arial"/>
      <family val="2"/>
    </font>
    <font>
      <sz val="8"/>
      <name val="Arial"/>
      <family val="2"/>
    </font>
    <font>
      <u/>
      <sz val="10"/>
      <color indexed="12"/>
      <name val="Arial"/>
      <family val="2"/>
    </font>
    <font>
      <sz val="4"/>
      <color theme="0"/>
      <name val="Calibri"/>
      <family val="2"/>
      <scheme val="minor"/>
    </font>
    <font>
      <sz val="8"/>
      <color theme="3"/>
      <name val="Calibri"/>
      <family val="2"/>
      <scheme val="minor"/>
    </font>
    <font>
      <sz val="8"/>
      <color theme="0"/>
      <name val="Arial"/>
      <family val="2"/>
    </font>
    <font>
      <i/>
      <sz val="11"/>
      <color rgb="FFFF0000"/>
      <name val="Calibri"/>
      <family val="2"/>
      <scheme val="minor"/>
    </font>
    <font>
      <sz val="11"/>
      <color rgb="FF000000"/>
      <name val="Calibri"/>
      <family val="2"/>
    </font>
    <font>
      <sz val="11"/>
      <color theme="1"/>
      <name val="Arial"/>
      <family val="2"/>
    </font>
    <font>
      <sz val="3"/>
      <color theme="0"/>
      <name val="Calibri"/>
      <family val="2"/>
      <scheme val="minor"/>
    </font>
    <font>
      <b/>
      <sz val="9"/>
      <color theme="1"/>
      <name val="Arial"/>
      <family val="2"/>
    </font>
    <font>
      <sz val="9"/>
      <color theme="1"/>
      <name val="Arial"/>
      <family val="2"/>
    </font>
    <font>
      <sz val="10"/>
      <name val="Arial"/>
      <family val="2"/>
    </font>
    <font>
      <u/>
      <sz val="10"/>
      <color indexed="12"/>
      <name val="Arial"/>
      <family val="2"/>
    </font>
    <font>
      <sz val="10"/>
      <color theme="1"/>
      <name val="Calibri"/>
      <family val="2"/>
    </font>
    <font>
      <i/>
      <sz val="9"/>
      <color theme="1"/>
      <name val="Calibri"/>
      <family val="2"/>
      <scheme val="minor"/>
    </font>
    <font>
      <sz val="11"/>
      <color indexed="8"/>
      <name val="Calibri"/>
      <family val="2"/>
    </font>
    <font>
      <i/>
      <sz val="11"/>
      <name val="Calibri"/>
      <family val="2"/>
      <scheme val="minor"/>
    </font>
    <font>
      <sz val="11"/>
      <color theme="1"/>
      <name val="Calibri"/>
      <family val="2"/>
    </font>
    <font>
      <i/>
      <sz val="11"/>
      <color theme="1"/>
      <name val="Calibri"/>
      <family val="2"/>
      <scheme val="minor"/>
    </font>
  </fonts>
  <fills count="75">
    <fill>
      <patternFill patternType="none"/>
    </fill>
    <fill>
      <patternFill patternType="gray125"/>
    </fill>
    <fill>
      <patternFill patternType="solid">
        <fgColor theme="9" tint="0.79998168889431442"/>
        <bgColor indexed="64"/>
      </patternFill>
    </fill>
    <fill>
      <patternFill patternType="solid">
        <fgColor theme="9" tint="0.79998168889431442"/>
        <bgColor theme="6" tint="0.79998168889431442"/>
      </patternFill>
    </fill>
    <fill>
      <patternFill patternType="solid">
        <fgColor theme="9"/>
        <bgColor theme="6"/>
      </patternFill>
    </fill>
    <fill>
      <patternFill patternType="solid">
        <fgColor theme="9"/>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bgColor indexed="64"/>
      </patternFill>
    </fill>
    <fill>
      <patternFill patternType="solid">
        <fgColor rgb="FF9BBB5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C0504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39997558519241921"/>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5" tint="-0.499984740745262"/>
        <bgColor indexed="64"/>
      </patternFill>
    </fill>
    <fill>
      <patternFill patternType="solid">
        <fgColor theme="9" tint="0.59999389629810485"/>
        <bgColor indexed="64"/>
      </patternFill>
    </fill>
  </fills>
  <borders count="88">
    <border>
      <left/>
      <right/>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6683">
    <xf numFmtId="0" fontId="0"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60" applyNumberFormat="0" applyFill="0" applyAlignment="0" applyProtection="0"/>
    <xf numFmtId="0" fontId="30" fillId="0" borderId="61" applyNumberFormat="0" applyFill="0" applyAlignment="0" applyProtection="0"/>
    <xf numFmtId="0" fontId="31" fillId="0" borderId="62" applyNumberFormat="0" applyFill="0" applyAlignment="0" applyProtection="0"/>
    <xf numFmtId="0" fontId="31" fillId="0" borderId="0" applyNumberFormat="0" applyFill="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4" fillId="17" borderId="0" applyNumberFormat="0" applyBorder="0" applyAlignment="0" applyProtection="0"/>
    <xf numFmtId="0" fontId="35" fillId="18" borderId="63" applyNumberFormat="0" applyAlignment="0" applyProtection="0"/>
    <xf numFmtId="0" fontId="36" fillId="19" borderId="64" applyNumberFormat="0" applyAlignment="0" applyProtection="0"/>
    <xf numFmtId="0" fontId="37" fillId="19" borderId="63" applyNumberFormat="0" applyAlignment="0" applyProtection="0"/>
    <xf numFmtId="0" fontId="38" fillId="0" borderId="65" applyNumberFormat="0" applyFill="0" applyAlignment="0" applyProtection="0"/>
    <xf numFmtId="0" fontId="10" fillId="20" borderId="66" applyNumberFormat="0" applyAlignment="0" applyProtection="0"/>
    <xf numFmtId="0" fontId="11" fillId="0" borderId="0" applyNumberFormat="0" applyFill="0" applyBorder="0" applyAlignment="0" applyProtection="0"/>
    <xf numFmtId="0" fontId="1" fillId="21" borderId="67" applyNumberFormat="0" applyFont="0" applyAlignment="0" applyProtection="0"/>
    <xf numFmtId="0" fontId="39" fillId="0" borderId="0" applyNumberFormat="0" applyFill="0" applyBorder="0" applyAlignment="0" applyProtection="0"/>
    <xf numFmtId="0" fontId="12" fillId="0" borderId="68" applyNumberFormat="0" applyFill="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9"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6" fillId="0" borderId="0" applyFont="0" applyFill="0" applyBorder="0" applyAlignment="0" applyProtection="0"/>
    <xf numFmtId="179" fontId="46" fillId="0" borderId="0" applyFont="0" applyFill="0" applyBorder="0" applyAlignment="0" applyProtection="0"/>
    <xf numFmtId="9" fontId="46" fillId="0" borderId="0" applyFont="0" applyFill="0" applyBorder="0" applyAlignment="0" applyProtection="0"/>
    <xf numFmtId="180"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2" fillId="0" borderId="0"/>
    <xf numFmtId="0" fontId="2" fillId="0" borderId="0"/>
    <xf numFmtId="43" fontId="2" fillId="0" borderId="0" applyFont="0" applyFill="0" applyBorder="0" applyAlignment="0" applyProtection="0"/>
    <xf numFmtId="0" fontId="48"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48" fillId="0" borderId="0"/>
    <xf numFmtId="169" fontId="48" fillId="0" borderId="0" applyFont="0" applyFill="0" applyBorder="0" applyAlignment="0" applyProtection="0"/>
    <xf numFmtId="0" fontId="2" fillId="0" borderId="0"/>
    <xf numFmtId="0" fontId="47" fillId="51"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7" fillId="54" borderId="0" applyNumberFormat="0" applyBorder="0" applyAlignment="0" applyProtection="0"/>
    <xf numFmtId="0" fontId="47" fillId="57" borderId="0" applyNumberFormat="0" applyBorder="0" applyAlignment="0" applyProtection="0"/>
    <xf numFmtId="0" fontId="47" fillId="60" borderId="0" applyNumberFormat="0" applyBorder="0" applyAlignment="0" applyProtection="0"/>
    <xf numFmtId="0" fontId="49" fillId="61"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49" fillId="62" borderId="0" applyNumberFormat="0" applyBorder="0" applyAlignment="0" applyProtection="0"/>
    <xf numFmtId="0" fontId="49" fillId="63"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2" borderId="0" applyNumberFormat="0" applyBorder="0" applyAlignment="0" applyProtection="0"/>
    <xf numFmtId="0" fontId="49" fillId="63" borderId="0" applyNumberFormat="0" applyBorder="0" applyAlignment="0" applyProtection="0"/>
    <xf numFmtId="0" fontId="49" fillId="68" borderId="0" applyNumberFormat="0" applyBorder="0" applyAlignment="0" applyProtection="0"/>
    <xf numFmtId="0" fontId="4" fillId="0" borderId="0" applyNumberFormat="0" applyFill="0" applyBorder="0" applyAlignment="0" applyProtection="0"/>
    <xf numFmtId="0" fontId="50" fillId="69" borderId="69" applyNumberFormat="0" applyAlignment="0" applyProtection="0"/>
    <xf numFmtId="0" fontId="51" fillId="0" borderId="70" applyNumberFormat="0" applyFill="0" applyAlignment="0" applyProtection="0"/>
    <xf numFmtId="0" fontId="47" fillId="70" borderId="71" applyNumberFormat="0" applyFont="0" applyAlignment="0" applyProtection="0"/>
    <xf numFmtId="0" fontId="52" fillId="56" borderId="69" applyNumberFormat="0" applyAlignment="0" applyProtection="0"/>
    <xf numFmtId="0" fontId="53" fillId="52" borderId="0" applyNumberFormat="0" applyBorder="0" applyAlignment="0" applyProtection="0"/>
    <xf numFmtId="0" fontId="54" fillId="71" borderId="0" applyNumberFormat="0" applyBorder="0" applyAlignment="0" applyProtection="0"/>
    <xf numFmtId="0" fontId="55" fillId="53" borderId="0" applyNumberFormat="0" applyBorder="0" applyAlignment="0" applyProtection="0"/>
    <xf numFmtId="0" fontId="56" fillId="69" borderId="7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3" applyNumberFormat="0" applyFill="0" applyAlignment="0" applyProtection="0"/>
    <xf numFmtId="0" fontId="60" fillId="0" borderId="74" applyNumberFormat="0" applyFill="0" applyAlignment="0" applyProtection="0"/>
    <xf numFmtId="0" fontId="61" fillId="0" borderId="75" applyNumberFormat="0" applyFill="0" applyAlignment="0" applyProtection="0"/>
    <xf numFmtId="0" fontId="61" fillId="0" borderId="0" applyNumberFormat="0" applyFill="0" applyBorder="0" applyAlignment="0" applyProtection="0"/>
    <xf numFmtId="0" fontId="62" fillId="0" borderId="76" applyNumberFormat="0" applyFill="0" applyAlignment="0" applyProtection="0"/>
    <xf numFmtId="0" fontId="63" fillId="72" borderId="77" applyNumberFormat="0" applyAlignment="0" applyProtection="0"/>
    <xf numFmtId="0" fontId="2" fillId="0" borderId="0"/>
    <xf numFmtId="180"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180" fontId="2" fillId="0" borderId="0" applyFill="0" applyBorder="0" applyAlignment="0" applyProtection="0">
      <alignment wrapText="1"/>
    </xf>
    <xf numFmtId="0" fontId="2" fillId="0" borderId="0"/>
    <xf numFmtId="0" fontId="48" fillId="0" borderId="0"/>
    <xf numFmtId="0" fontId="48" fillId="0" borderId="0"/>
    <xf numFmtId="0" fontId="48" fillId="0" borderId="0"/>
    <xf numFmtId="0" fontId="2" fillId="0" borderId="0"/>
    <xf numFmtId="0" fontId="1" fillId="0" borderId="0"/>
    <xf numFmtId="0" fontId="1" fillId="0" borderId="0"/>
    <xf numFmtId="0" fontId="1" fillId="0" borderId="0"/>
    <xf numFmtId="0" fontId="2" fillId="0" borderId="0"/>
    <xf numFmtId="0" fontId="1" fillId="0" borderId="0"/>
    <xf numFmtId="0" fontId="48"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48"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64" fillId="0" borderId="0"/>
    <xf numFmtId="0" fontId="64" fillId="0" borderId="0"/>
    <xf numFmtId="0" fontId="64" fillId="0" borderId="0"/>
    <xf numFmtId="0" fontId="48" fillId="0" borderId="0"/>
    <xf numFmtId="0" fontId="48" fillId="0" borderId="0"/>
    <xf numFmtId="0" fontId="2" fillId="0" borderId="0"/>
    <xf numFmtId="0" fontId="1" fillId="0" borderId="0"/>
    <xf numFmtId="0" fontId="1" fillId="0" borderId="0"/>
    <xf numFmtId="0" fontId="1" fillId="0" borderId="0"/>
    <xf numFmtId="0" fontId="1" fillId="0" borderId="0"/>
    <xf numFmtId="0" fontId="48"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1" fillId="0" borderId="0"/>
    <xf numFmtId="0" fontId="1" fillId="0" borderId="0"/>
    <xf numFmtId="0" fontId="1" fillId="0" borderId="0"/>
    <xf numFmtId="0" fontId="1" fillId="0" borderId="0"/>
    <xf numFmtId="0" fontId="48" fillId="0" borderId="0"/>
    <xf numFmtId="0" fontId="48"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2" fillId="0" borderId="0" applyFont="0" applyFill="0" applyBorder="0" applyAlignment="0" applyProtection="0"/>
    <xf numFmtId="0" fontId="64" fillId="0" borderId="0"/>
    <xf numFmtId="0" fontId="64" fillId="0" borderId="0"/>
    <xf numFmtId="0" fontId="64" fillId="0" borderId="0"/>
    <xf numFmtId="43" fontId="1" fillId="0" borderId="0" applyFont="0" applyFill="0" applyBorder="0" applyAlignment="0" applyProtection="0"/>
    <xf numFmtId="43" fontId="1" fillId="0" borderId="0" applyFont="0" applyFill="0" applyBorder="0" applyAlignment="0" applyProtection="0"/>
    <xf numFmtId="0" fontId="64" fillId="0" borderId="0"/>
    <xf numFmtId="0" fontId="64" fillId="0" borderId="0"/>
    <xf numFmtId="0" fontId="2" fillId="0" borderId="0"/>
    <xf numFmtId="0" fontId="64"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0"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169"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 fontId="46" fillId="0" borderId="0" applyFont="0" applyFill="0" applyBorder="0" applyAlignment="0" applyProtection="0"/>
    <xf numFmtId="179" fontId="46" fillId="0" borderId="0" applyFont="0" applyFill="0" applyBorder="0" applyAlignment="0" applyProtection="0"/>
    <xf numFmtId="9" fontId="46" fillId="0" borderId="0" applyFont="0" applyFill="0" applyBorder="0" applyAlignment="0" applyProtection="0"/>
    <xf numFmtId="43" fontId="2" fillId="0" borderId="0" applyFont="0" applyFill="0" applyBorder="0" applyAlignment="0" applyProtection="0"/>
    <xf numFmtId="0" fontId="48" fillId="0" borderId="0"/>
    <xf numFmtId="0" fontId="2" fillId="0" borderId="0"/>
    <xf numFmtId="0" fontId="2" fillId="0" borderId="0"/>
    <xf numFmtId="0" fontId="48" fillId="0" borderId="0"/>
    <xf numFmtId="169" fontId="48"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48" fillId="0" borderId="0"/>
    <xf numFmtId="0" fontId="48" fillId="0" borderId="0"/>
    <xf numFmtId="0" fontId="48" fillId="0" borderId="0"/>
    <xf numFmtId="0" fontId="2" fillId="0" borderId="0"/>
    <xf numFmtId="0" fontId="1" fillId="0" borderId="0"/>
    <xf numFmtId="0" fontId="1" fillId="0" borderId="0"/>
    <xf numFmtId="0" fontId="1" fillId="0" borderId="0"/>
    <xf numFmtId="0" fontId="2" fillId="0" borderId="0"/>
    <xf numFmtId="0" fontId="1" fillId="0" borderId="0"/>
    <xf numFmtId="0" fontId="48"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48" fillId="0" borderId="0"/>
    <xf numFmtId="0" fontId="2" fillId="0" borderId="0"/>
    <xf numFmtId="0" fontId="48" fillId="0" borderId="0"/>
    <xf numFmtId="0" fontId="48"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64" fillId="0" borderId="0"/>
    <xf numFmtId="0" fontId="64"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64" fillId="0" borderId="0"/>
    <xf numFmtId="0" fontId="2" fillId="0" borderId="0"/>
    <xf numFmtId="9" fontId="2" fillId="0" borderId="0" applyFont="0" applyFill="0" applyBorder="0" applyAlignment="0" applyProtection="0"/>
    <xf numFmtId="0" fontId="64" fillId="0" borderId="0"/>
    <xf numFmtId="0" fontId="64" fillId="0" borderId="0"/>
    <xf numFmtId="0" fontId="64" fillId="0" borderId="0"/>
    <xf numFmtId="43" fontId="1" fillId="0" borderId="0" applyFont="0" applyFill="0" applyBorder="0" applyAlignment="0" applyProtection="0"/>
    <xf numFmtId="0" fontId="64" fillId="0" borderId="0"/>
    <xf numFmtId="0" fontId="64"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8" fillId="0" borderId="0"/>
    <xf numFmtId="0" fontId="2" fillId="0" borderId="0"/>
    <xf numFmtId="0" fontId="1" fillId="0" borderId="0"/>
    <xf numFmtId="9" fontId="1" fillId="0" borderId="0" applyFont="0" applyFill="0" applyBorder="0" applyAlignment="0" applyProtection="0"/>
    <xf numFmtId="0" fontId="48" fillId="0" borderId="0"/>
    <xf numFmtId="0" fontId="48" fillId="0" borderId="0"/>
    <xf numFmtId="9" fontId="46" fillId="0" borderId="0" applyFont="0" applyFill="0" applyBorder="0" applyAlignment="0" applyProtection="0"/>
    <xf numFmtId="4" fontId="4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43" fontId="1" fillId="0" borderId="0" applyFont="0" applyFill="0" applyBorder="0" applyAlignment="0" applyProtection="0"/>
    <xf numFmtId="0" fontId="1" fillId="0" borderId="0"/>
    <xf numFmtId="169" fontId="48"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169" fontId="4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46" fillId="0" borderId="0"/>
    <xf numFmtId="0" fontId="2" fillId="0" borderId="0"/>
    <xf numFmtId="0" fontId="46" fillId="0" borderId="0"/>
    <xf numFmtId="0" fontId="46" fillId="0" borderId="0"/>
    <xf numFmtId="0" fontId="46" fillId="0" borderId="0"/>
    <xf numFmtId="0" fontId="2"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lignment horizontal="center" wrapText="1"/>
    </xf>
    <xf numFmtId="0" fontId="3" fillId="0" borderId="0" applyNumberFormat="0" applyFill="0" applyBorder="0">
      <alignment horizontal="center" wrapText="1"/>
    </xf>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1" borderId="6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7" fillId="0" borderId="0" applyNumberFormat="0" applyFill="0" applyBorder="0" applyAlignment="0" applyProtection="0"/>
    <xf numFmtId="0" fontId="1" fillId="21" borderId="67" applyNumberFormat="0" applyFont="0" applyAlignment="0" applyProtection="0"/>
    <xf numFmtId="0" fontId="1" fillId="21" borderId="67" applyNumberFormat="0" applyFont="0" applyAlignment="0" applyProtection="0"/>
    <xf numFmtId="0" fontId="2" fillId="0" borderId="0"/>
    <xf numFmtId="0" fontId="1" fillId="0" borderId="0"/>
    <xf numFmtId="0" fontId="1" fillId="0" borderId="0"/>
    <xf numFmtId="43" fontId="26" fillId="0" borderId="0" applyFont="0" applyFill="0" applyBorder="0" applyAlignment="0" applyProtection="0"/>
    <xf numFmtId="4" fontId="46" fillId="0" borderId="0" applyFont="0" applyFill="0" applyBorder="0" applyAlignment="0" applyProtection="0"/>
    <xf numFmtId="0" fontId="1" fillId="0" borderId="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2" fillId="0" borderId="0"/>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 fillId="0" borderId="0"/>
    <xf numFmtId="0" fontId="2" fillId="0" borderId="0"/>
    <xf numFmtId="0" fontId="78" fillId="0" borderId="0"/>
    <xf numFmtId="0" fontId="79" fillId="0" borderId="0" applyNumberFormat="0" applyFill="0" applyBorder="0" applyAlignment="0" applyProtection="0">
      <alignment vertical="top"/>
      <protection locked="0"/>
    </xf>
    <xf numFmtId="0" fontId="78" fillId="0" borderId="0"/>
    <xf numFmtId="0" fontId="2" fillId="0" borderId="0"/>
    <xf numFmtId="0" fontId="2" fillId="0" borderId="0"/>
    <xf numFmtId="44"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3" fontId="1" fillId="23" borderId="0" applyNumberFormat="0" applyBorder="0" applyAlignment="0" applyProtection="0"/>
    <xf numFmtId="183"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3" fontId="1" fillId="27" borderId="0" applyNumberFormat="0" applyBorder="0" applyAlignment="0" applyProtection="0"/>
    <xf numFmtId="183"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3" fontId="1" fillId="31" borderId="0" applyNumberFormat="0" applyBorder="0" applyAlignment="0" applyProtection="0"/>
    <xf numFmtId="183"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83" fontId="1" fillId="35" borderId="0" applyNumberFormat="0" applyBorder="0" applyAlignment="0" applyProtection="0"/>
    <xf numFmtId="183"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2"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3" fontId="1" fillId="43" borderId="0" applyNumberFormat="0" applyBorder="0" applyAlignment="0" applyProtection="0"/>
    <xf numFmtId="183"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83" fontId="1" fillId="24" borderId="0" applyNumberFormat="0" applyBorder="0" applyAlignment="0" applyProtection="0"/>
    <xf numFmtId="183"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2" fillId="5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83" fontId="1" fillId="32" borderId="0" applyNumberFormat="0" applyBorder="0" applyAlignment="0" applyProtection="0"/>
    <xf numFmtId="183"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83" fontId="1" fillId="36" borderId="0" applyNumberFormat="0" applyBorder="0" applyAlignment="0" applyProtection="0"/>
    <xf numFmtId="183"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83" fontId="1" fillId="40" borderId="0" applyNumberFormat="0" applyBorder="0" applyAlignment="0" applyProtection="0"/>
    <xf numFmtId="183"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3" fontId="1" fillId="44" borderId="0" applyNumberFormat="0" applyBorder="0" applyAlignment="0" applyProtection="0"/>
    <xf numFmtId="183"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43" fontId="26" fillId="0" borderId="0" applyFont="0" applyFill="0" applyBorder="0" applyAlignment="0" applyProtection="0"/>
    <xf numFmtId="4" fontId="46"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xf numFmtId="0" fontId="1" fillId="0" borderId="0"/>
    <xf numFmtId="0" fontId="64" fillId="0" borderId="0"/>
    <xf numFmtId="0" fontId="1" fillId="0" borderId="0"/>
    <xf numFmtId="0" fontId="64" fillId="0" borderId="0"/>
    <xf numFmtId="0" fontId="64" fillId="0" borderId="0"/>
    <xf numFmtId="0" fontId="1" fillId="0" borderId="0"/>
    <xf numFmtId="0" fontId="64" fillId="0" borderId="0"/>
    <xf numFmtId="0" fontId="1" fillId="0" borderId="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cellStyleXfs>
  <cellXfs count="675">
    <xf numFmtId="0" fontId="0" fillId="0" borderId="0" xfId="0"/>
    <xf numFmtId="0" fontId="13" fillId="5" borderId="5" xfId="0" applyFont="1" applyFill="1" applyBorder="1" applyAlignment="1">
      <alignment horizontal="center" vertical="center"/>
    </xf>
    <xf numFmtId="0" fontId="0" fillId="12" borderId="42" xfId="0" applyFill="1" applyBorder="1" applyAlignment="1">
      <alignment horizontal="center"/>
    </xf>
    <xf numFmtId="0" fontId="2" fillId="0" borderId="12" xfId="0" applyFont="1" applyFill="1" applyBorder="1" applyAlignment="1">
      <alignment horizontal="center"/>
    </xf>
    <xf numFmtId="0" fontId="13" fillId="7" borderId="12" xfId="0" applyFont="1" applyFill="1" applyBorder="1" applyAlignment="1">
      <alignment horizontal="center"/>
    </xf>
    <xf numFmtId="0" fontId="13" fillId="5" borderId="6" xfId="0" applyFont="1" applyFill="1" applyBorder="1" applyAlignment="1">
      <alignment horizontal="center"/>
    </xf>
    <xf numFmtId="0" fontId="13" fillId="5" borderId="7" xfId="0" applyFont="1" applyFill="1" applyBorder="1" applyAlignment="1">
      <alignment horizontal="center" vertical="center"/>
    </xf>
    <xf numFmtId="0" fontId="13" fillId="7" borderId="11" xfId="0" applyFont="1" applyFill="1" applyBorder="1" applyAlignment="1">
      <alignment horizontal="center"/>
    </xf>
    <xf numFmtId="0" fontId="45" fillId="73" borderId="0" xfId="0" applyFont="1" applyFill="1" applyBorder="1" applyAlignment="1">
      <alignment horizontal="left"/>
    </xf>
    <xf numFmtId="0" fontId="45" fillId="73" borderId="7" xfId="0" applyFont="1" applyFill="1" applyBorder="1" applyAlignment="1">
      <alignment horizontal="left"/>
    </xf>
    <xf numFmtId="0" fontId="2" fillId="0" borderId="42" xfId="0" applyFont="1" applyFill="1" applyBorder="1" applyAlignment="1">
      <alignment horizontal="center"/>
    </xf>
    <xf numFmtId="9" fontId="13" fillId="5" borderId="6" xfId="2266" applyFont="1" applyFill="1" applyBorder="1" applyAlignment="1">
      <alignment horizontal="center"/>
    </xf>
    <xf numFmtId="9" fontId="13" fillId="5" borderId="17" xfId="2266" applyFont="1" applyFill="1" applyBorder="1" applyAlignment="1">
      <alignment horizontal="center"/>
    </xf>
    <xf numFmtId="0" fontId="10" fillId="5" borderId="6" xfId="0" applyFont="1" applyFill="1" applyBorder="1" applyAlignment="1">
      <alignment horizontal="center"/>
    </xf>
    <xf numFmtId="0" fontId="10" fillId="5" borderId="15" xfId="0" applyFont="1" applyFill="1" applyBorder="1" applyAlignment="1">
      <alignment horizontal="center"/>
    </xf>
    <xf numFmtId="0" fontId="12" fillId="0" borderId="16" xfId="0" applyFont="1" applyBorder="1" applyAlignment="1">
      <alignment horizontal="center"/>
    </xf>
    <xf numFmtId="0" fontId="12" fillId="0" borderId="0" xfId="0" applyFont="1" applyAlignment="1">
      <alignment horizontal="center"/>
    </xf>
    <xf numFmtId="0" fontId="13" fillId="5" borderId="15" xfId="0" applyFont="1" applyFill="1" applyBorder="1" applyAlignment="1">
      <alignment horizontal="center"/>
    </xf>
    <xf numFmtId="0" fontId="13" fillId="5" borderId="28" xfId="0" applyFont="1" applyFill="1" applyBorder="1" applyAlignment="1">
      <alignment horizontal="center"/>
    </xf>
    <xf numFmtId="0" fontId="13" fillId="5" borderId="17" xfId="0" applyFont="1" applyFill="1" applyBorder="1" applyAlignment="1">
      <alignment horizontal="center"/>
    </xf>
    <xf numFmtId="0" fontId="0" fillId="12" borderId="12" xfId="0" applyFill="1" applyBorder="1" applyAlignment="1">
      <alignment horizontal="center"/>
    </xf>
    <xf numFmtId="0" fontId="72" fillId="0" borderId="0" xfId="0" applyFont="1" applyBorder="1" applyAlignment="1">
      <alignment horizontal="center" vertical="top"/>
    </xf>
    <xf numFmtId="0" fontId="2" fillId="0" borderId="11" xfId="0" applyFont="1" applyFill="1" applyBorder="1" applyAlignment="1">
      <alignment horizontal="center"/>
    </xf>
    <xf numFmtId="0" fontId="13" fillId="7" borderId="42" xfId="0" applyFont="1" applyFill="1" applyBorder="1" applyAlignment="1">
      <alignment horizontal="center"/>
    </xf>
    <xf numFmtId="167" fontId="16" fillId="0" borderId="8" xfId="0" applyNumberFormat="1" applyFont="1" applyFill="1" applyBorder="1"/>
    <xf numFmtId="167" fontId="16" fillId="0" borderId="45" xfId="157" applyNumberFormat="1" applyFont="1" applyFill="1" applyBorder="1"/>
    <xf numFmtId="0" fontId="10" fillId="7" borderId="39" xfId="0" applyFont="1" applyFill="1" applyBorder="1"/>
    <xf numFmtId="0" fontId="0" fillId="0" borderId="0" xfId="0" applyFill="1" applyAlignment="1">
      <alignment horizontal="left"/>
    </xf>
    <xf numFmtId="2" fontId="3" fillId="0" borderId="0" xfId="0" applyNumberFormat="1" applyFont="1" applyAlignment="1">
      <alignment horizontal="right"/>
    </xf>
    <xf numFmtId="0" fontId="0" fillId="0" borderId="0" xfId="0" applyAlignment="1">
      <alignment horizontal="left"/>
    </xf>
    <xf numFmtId="164" fontId="3" fillId="0" borderId="0" xfId="0" applyNumberFormat="1" applyFont="1" applyAlignment="1">
      <alignment horizontal="centerContinuous"/>
    </xf>
    <xf numFmtId="0" fontId="8" fillId="0" borderId="0" xfId="0" applyNumberFormat="1" applyFont="1" applyBorder="1" applyProtection="1"/>
    <xf numFmtId="0" fontId="9" fillId="0" borderId="0" xfId="0" applyFont="1" applyBorder="1"/>
    <xf numFmtId="165" fontId="0" fillId="0" borderId="0" xfId="0" applyNumberFormat="1"/>
    <xf numFmtId="164" fontId="0" fillId="0" borderId="8" xfId="0" applyNumberFormat="1" applyFill="1" applyBorder="1"/>
    <xf numFmtId="164" fontId="0" fillId="2" borderId="8" xfId="0" applyNumberFormat="1" applyFill="1" applyBorder="1"/>
    <xf numFmtId="164" fontId="0" fillId="2" borderId="10" xfId="0" applyNumberFormat="1" applyFill="1" applyBorder="1"/>
    <xf numFmtId="0" fontId="11" fillId="0" borderId="0" xfId="0" applyFont="1"/>
    <xf numFmtId="17" fontId="0" fillId="0" borderId="7" xfId="0" applyNumberFormat="1" applyFont="1" applyFill="1" applyBorder="1"/>
    <xf numFmtId="17" fontId="0" fillId="3" borderId="7" xfId="0" applyNumberFormat="1" applyFont="1" applyFill="1" applyBorder="1"/>
    <xf numFmtId="0" fontId="10" fillId="4" borderId="11" xfId="0" applyFont="1" applyFill="1" applyBorder="1"/>
    <xf numFmtId="0" fontId="10" fillId="4" borderId="12" xfId="0" applyFont="1" applyFill="1" applyBorder="1"/>
    <xf numFmtId="17" fontId="0" fillId="2" borderId="9" xfId="0" applyNumberFormat="1" applyFont="1" applyFill="1" applyBorder="1"/>
    <xf numFmtId="0" fontId="0" fillId="0" borderId="0" xfId="0" applyAlignment="1"/>
    <xf numFmtId="0" fontId="0" fillId="0" borderId="0" xfId="0" applyBorder="1" applyAlignment="1"/>
    <xf numFmtId="0" fontId="13" fillId="5" borderId="11" xfId="0" applyFont="1" applyFill="1" applyBorder="1" applyAlignment="1">
      <alignment horizontal="right"/>
    </xf>
    <xf numFmtId="2" fontId="13" fillId="5" borderId="12" xfId="0" applyNumberFormat="1" applyFont="1" applyFill="1" applyBorder="1" applyAlignment="1">
      <alignment horizontal="right"/>
    </xf>
    <xf numFmtId="17" fontId="13" fillId="5" borderId="7" xfId="0" applyNumberFormat="1" applyFont="1" applyFill="1" applyBorder="1"/>
    <xf numFmtId="17" fontId="13" fillId="5" borderId="9" xfId="0" applyNumberFormat="1" applyFont="1" applyFill="1" applyBorder="1"/>
    <xf numFmtId="0" fontId="2" fillId="0" borderId="0" xfId="0" quotePrefix="1" applyFont="1" applyFill="1" applyAlignment="1">
      <alignment horizontal="left"/>
    </xf>
    <xf numFmtId="0" fontId="14" fillId="0" borderId="0" xfId="28" applyFont="1"/>
    <xf numFmtId="0" fontId="15" fillId="0" borderId="0" xfId="0" applyFont="1" applyBorder="1" applyAlignment="1" applyProtection="1">
      <alignment horizontal="left"/>
    </xf>
    <xf numFmtId="165" fontId="8" fillId="0" borderId="0" xfId="0" applyNumberFormat="1" applyFont="1" applyAlignment="1">
      <alignment horizontal="right"/>
    </xf>
    <xf numFmtId="171" fontId="0" fillId="0" borderId="19" xfId="0" applyNumberFormat="1" applyFont="1" applyFill="1" applyBorder="1"/>
    <xf numFmtId="171" fontId="0" fillId="3" borderId="20" xfId="0" applyNumberFormat="1" applyFont="1" applyFill="1" applyBorder="1"/>
    <xf numFmtId="171" fontId="0" fillId="0" borderId="20" xfId="0" applyNumberFormat="1" applyFont="1" applyFill="1" applyBorder="1"/>
    <xf numFmtId="171" fontId="0" fillId="2" borderId="21" xfId="0" applyNumberFormat="1" applyFont="1" applyFill="1" applyBorder="1"/>
    <xf numFmtId="0" fontId="10" fillId="4" borderId="9" xfId="0" applyFont="1" applyFill="1" applyBorder="1"/>
    <xf numFmtId="0" fontId="10" fillId="4" borderId="16" xfId="0" applyFont="1" applyFill="1" applyBorder="1"/>
    <xf numFmtId="0" fontId="10" fillId="5" borderId="5" xfId="0" applyFont="1" applyFill="1" applyBorder="1" applyAlignment="1">
      <alignment horizontal="center"/>
    </xf>
    <xf numFmtId="0" fontId="10" fillId="5" borderId="16" xfId="0" applyFont="1" applyFill="1" applyBorder="1"/>
    <xf numFmtId="0" fontId="10" fillId="5" borderId="10" xfId="0" applyFont="1" applyFill="1" applyBorder="1"/>
    <xf numFmtId="171" fontId="0" fillId="0" borderId="13" xfId="0" applyNumberFormat="1" applyFont="1" applyFill="1" applyBorder="1"/>
    <xf numFmtId="171" fontId="0" fillId="3" borderId="13" xfId="0" applyNumberFormat="1" applyFont="1" applyFill="1" applyBorder="1"/>
    <xf numFmtId="171" fontId="0" fillId="2" borderId="18" xfId="0" applyNumberFormat="1" applyFont="1" applyFill="1" applyBorder="1"/>
    <xf numFmtId="17" fontId="0" fillId="0" borderId="5" xfId="0" applyNumberFormat="1" applyFont="1" applyFill="1" applyBorder="1"/>
    <xf numFmtId="171" fontId="0" fillId="0" borderId="17" xfId="0" applyNumberFormat="1" applyFont="1" applyFill="1" applyBorder="1"/>
    <xf numFmtId="165" fontId="16" fillId="0" borderId="0" xfId="0" applyNumberFormat="1" applyFont="1" applyBorder="1" applyAlignment="1" applyProtection="1">
      <alignment horizontal="right"/>
    </xf>
    <xf numFmtId="165" fontId="16" fillId="0" borderId="0" xfId="0" applyNumberFormat="1" applyFont="1" applyBorder="1" applyAlignment="1">
      <alignment horizontal="right"/>
    </xf>
    <xf numFmtId="170" fontId="10" fillId="5" borderId="7" xfId="0" applyNumberFormat="1" applyFont="1" applyFill="1" applyBorder="1" applyAlignment="1">
      <alignment horizontal="right"/>
    </xf>
    <xf numFmtId="165" fontId="16" fillId="0" borderId="8" xfId="0" applyNumberFormat="1" applyFont="1" applyBorder="1" applyAlignment="1">
      <alignment horizontal="right"/>
    </xf>
    <xf numFmtId="170" fontId="10" fillId="5" borderId="9" xfId="0" applyNumberFormat="1" applyFont="1" applyFill="1" applyBorder="1" applyAlignment="1">
      <alignment horizontal="right"/>
    </xf>
    <xf numFmtId="0" fontId="10" fillId="5" borderId="22" xfId="0" applyNumberFormat="1" applyFont="1" applyFill="1" applyBorder="1" applyAlignment="1" applyProtection="1">
      <alignment horizontal="centerContinuous"/>
    </xf>
    <xf numFmtId="0" fontId="10" fillId="5" borderId="22" xfId="0" applyFont="1" applyFill="1" applyBorder="1" applyAlignment="1">
      <alignment horizontal="centerContinuous"/>
    </xf>
    <xf numFmtId="0" fontId="10" fillId="5" borderId="22" xfId="0" applyNumberFormat="1" applyFont="1" applyFill="1" applyBorder="1" applyAlignment="1" applyProtection="1">
      <alignment horizontal="center"/>
    </xf>
    <xf numFmtId="165" fontId="16" fillId="0" borderId="4" xfId="0" applyNumberFormat="1" applyFont="1" applyBorder="1" applyAlignment="1" applyProtection="1">
      <alignment horizontal="right"/>
    </xf>
    <xf numFmtId="165" fontId="16" fillId="0" borderId="14" xfId="0" applyNumberFormat="1" applyFont="1" applyBorder="1" applyAlignment="1" applyProtection="1">
      <alignment horizontal="right"/>
    </xf>
    <xf numFmtId="165" fontId="16" fillId="2" borderId="0" xfId="0" applyNumberFormat="1" applyFont="1" applyFill="1" applyBorder="1" applyAlignment="1" applyProtection="1">
      <alignment horizontal="right"/>
    </xf>
    <xf numFmtId="165" fontId="16" fillId="2" borderId="14" xfId="0" applyNumberFormat="1" applyFont="1" applyFill="1" applyBorder="1" applyAlignment="1" applyProtection="1">
      <alignment horizontal="right"/>
    </xf>
    <xf numFmtId="165" fontId="16" fillId="2" borderId="0" xfId="0" applyNumberFormat="1" applyFont="1" applyFill="1" applyBorder="1" applyAlignment="1">
      <alignment horizontal="right"/>
    </xf>
    <xf numFmtId="165" fontId="16" fillId="2" borderId="8" xfId="0" applyNumberFormat="1" applyFont="1" applyFill="1" applyBorder="1" applyAlignment="1">
      <alignment horizontal="right"/>
    </xf>
    <xf numFmtId="165" fontId="16" fillId="2" borderId="16" xfId="0" applyNumberFormat="1" applyFont="1" applyFill="1" applyBorder="1" applyAlignment="1">
      <alignment horizontal="right"/>
    </xf>
    <xf numFmtId="165" fontId="16" fillId="2" borderId="10" xfId="0" applyNumberFormat="1" applyFont="1" applyFill="1" applyBorder="1" applyAlignment="1">
      <alignment horizontal="right"/>
    </xf>
    <xf numFmtId="0" fontId="18" fillId="5" borderId="5" xfId="0" applyFont="1" applyFill="1" applyBorder="1" applyAlignment="1" applyProtection="1">
      <alignment horizontal="center"/>
    </xf>
    <xf numFmtId="0" fontId="18" fillId="5" borderId="7" xfId="0" applyFont="1" applyFill="1" applyBorder="1" applyAlignment="1" applyProtection="1">
      <alignment horizontal="center"/>
    </xf>
    <xf numFmtId="0" fontId="0" fillId="0" borderId="0" xfId="0" applyFont="1" applyFill="1"/>
    <xf numFmtId="0" fontId="14" fillId="0" borderId="0" xfId="28" applyFont="1" applyFill="1"/>
    <xf numFmtId="49" fontId="20" fillId="0" borderId="0" xfId="0" applyNumberFormat="1" applyFont="1" applyAlignment="1">
      <alignment horizontal="left"/>
    </xf>
    <xf numFmtId="0" fontId="20" fillId="0" borderId="0" xfId="0" applyFont="1" applyAlignment="1">
      <alignment horizontal="left"/>
    </xf>
    <xf numFmtId="0" fontId="0" fillId="0" borderId="0" xfId="0" applyNumberFormat="1"/>
    <xf numFmtId="0" fontId="10" fillId="5" borderId="24" xfId="0" applyNumberFormat="1" applyFont="1" applyFill="1" applyBorder="1" applyAlignment="1" applyProtection="1">
      <alignment horizontal="center"/>
    </xf>
    <xf numFmtId="0" fontId="10" fillId="5" borderId="34" xfId="0" applyNumberFormat="1" applyFont="1" applyFill="1" applyBorder="1" applyAlignment="1" applyProtection="1">
      <alignment horizontal="center" vertical="center" wrapText="1"/>
    </xf>
    <xf numFmtId="0" fontId="10" fillId="5" borderId="25" xfId="0" applyNumberFormat="1" applyFont="1" applyFill="1" applyBorder="1" applyAlignment="1" applyProtection="1">
      <alignment horizontal="center" vertical="center" wrapText="1"/>
    </xf>
    <xf numFmtId="165" fontId="16" fillId="2" borderId="16" xfId="0" applyNumberFormat="1" applyFont="1" applyFill="1" applyBorder="1" applyAlignment="1" applyProtection="1">
      <alignment horizontal="right"/>
    </xf>
    <xf numFmtId="0" fontId="0" fillId="0" borderId="5" xfId="0" applyNumberFormat="1" applyFont="1" applyFill="1" applyBorder="1"/>
    <xf numFmtId="0" fontId="0" fillId="3" borderId="7" xfId="0" applyNumberFormat="1" applyFont="1" applyFill="1" applyBorder="1"/>
    <xf numFmtId="0" fontId="0" fillId="0" borderId="7" xfId="0" applyNumberFormat="1" applyFont="1" applyFill="1" applyBorder="1"/>
    <xf numFmtId="0" fontId="0" fillId="2" borderId="9" xfId="0" applyNumberFormat="1" applyFont="1" applyFill="1" applyBorder="1"/>
    <xf numFmtId="1" fontId="0" fillId="0" borderId="17" xfId="0" applyNumberFormat="1" applyFont="1" applyFill="1" applyBorder="1"/>
    <xf numFmtId="1" fontId="0" fillId="3" borderId="13" xfId="0" applyNumberFormat="1" applyFont="1" applyFill="1" applyBorder="1"/>
    <xf numFmtId="1" fontId="0" fillId="0" borderId="13" xfId="0" applyNumberFormat="1" applyFont="1" applyFill="1" applyBorder="1"/>
    <xf numFmtId="1" fontId="0" fillId="2" borderId="18" xfId="0" applyNumberFormat="1" applyFont="1" applyFill="1" applyBorder="1"/>
    <xf numFmtId="166" fontId="16" fillId="0" borderId="0" xfId="131" applyNumberFormat="1" applyFont="1" applyBorder="1" applyAlignment="1" applyProtection="1">
      <alignment horizontal="right"/>
    </xf>
    <xf numFmtId="166" fontId="16" fillId="2" borderId="0" xfId="131" applyNumberFormat="1" applyFont="1" applyFill="1" applyBorder="1" applyAlignment="1" applyProtection="1">
      <alignment horizontal="right"/>
    </xf>
    <xf numFmtId="166" fontId="16" fillId="2" borderId="16" xfId="131" applyNumberFormat="1" applyFont="1" applyFill="1" applyBorder="1" applyAlignment="1" applyProtection="1">
      <alignment horizontal="right"/>
    </xf>
    <xf numFmtId="166" fontId="0" fillId="0" borderId="36" xfId="131" applyNumberFormat="1" applyFont="1" applyFill="1" applyBorder="1"/>
    <xf numFmtId="166" fontId="0" fillId="3" borderId="37" xfId="131" applyNumberFormat="1" applyFont="1" applyFill="1" applyBorder="1"/>
    <xf numFmtId="166" fontId="0" fillId="0" borderId="37" xfId="131" applyNumberFormat="1" applyFont="1" applyFill="1" applyBorder="1"/>
    <xf numFmtId="166" fontId="0" fillId="2" borderId="38" xfId="131" applyNumberFormat="1" applyFont="1" applyFill="1" applyBorder="1"/>
    <xf numFmtId="0" fontId="12" fillId="0" borderId="0" xfId="0" applyFont="1" applyBorder="1" applyAlignment="1">
      <alignment horizontal="center"/>
    </xf>
    <xf numFmtId="171" fontId="0" fillId="0" borderId="0" xfId="0" applyNumberFormat="1" applyFont="1" applyFill="1" applyBorder="1"/>
    <xf numFmtId="0" fontId="10" fillId="0" borderId="0" xfId="0" applyNumberFormat="1" applyFont="1" applyFill="1" applyBorder="1" applyAlignment="1" applyProtection="1">
      <alignment horizontal="center" vertical="center" wrapText="1"/>
    </xf>
    <xf numFmtId="1" fontId="0" fillId="0" borderId="6" xfId="0" applyNumberFormat="1" applyFont="1" applyFill="1" applyBorder="1"/>
    <xf numFmtId="1" fontId="0" fillId="3" borderId="8" xfId="0" applyNumberFormat="1" applyFont="1" applyFill="1" applyBorder="1"/>
    <xf numFmtId="1" fontId="0" fillId="0" borderId="8" xfId="0" applyNumberFormat="1" applyFont="1" applyFill="1" applyBorder="1"/>
    <xf numFmtId="1" fontId="0" fillId="2" borderId="10" xfId="0" applyNumberFormat="1" applyFont="1" applyFill="1" applyBorder="1"/>
    <xf numFmtId="1" fontId="0" fillId="2" borderId="21" xfId="0" applyNumberFormat="1" applyFont="1" applyFill="1" applyBorder="1"/>
    <xf numFmtId="1" fontId="0" fillId="0" borderId="19" xfId="0" applyNumberFormat="1" applyFont="1" applyFill="1" applyBorder="1"/>
    <xf numFmtId="1" fontId="0" fillId="3" borderId="20" xfId="0" applyNumberFormat="1" applyFont="1" applyFill="1" applyBorder="1"/>
    <xf numFmtId="1" fontId="0" fillId="0" borderId="20" xfId="0" applyNumberFormat="1" applyFont="1" applyFill="1" applyBorder="1"/>
    <xf numFmtId="172" fontId="2" fillId="0" borderId="0" xfId="0" applyNumberFormat="1" applyFont="1" applyFill="1" applyProtection="1"/>
    <xf numFmtId="172" fontId="2" fillId="0" borderId="0" xfId="0" applyNumberFormat="1" applyFont="1" applyProtection="1"/>
    <xf numFmtId="173" fontId="2" fillId="0" borderId="0" xfId="0" applyNumberFormat="1" applyFont="1" applyAlignment="1"/>
    <xf numFmtId="0" fontId="16" fillId="0" borderId="0" xfId="0" applyNumberFormat="1" applyFont="1" applyBorder="1" applyAlignment="1" applyProtection="1">
      <alignment horizontal="right"/>
    </xf>
    <xf numFmtId="0" fontId="16" fillId="0" borderId="0" xfId="131" applyNumberFormat="1" applyFont="1" applyBorder="1" applyAlignment="1" applyProtection="1">
      <alignment horizontal="right"/>
    </xf>
    <xf numFmtId="0" fontId="16" fillId="2" borderId="0" xfId="0" applyNumberFormat="1" applyFont="1" applyFill="1" applyBorder="1" applyAlignment="1" applyProtection="1">
      <alignment horizontal="right"/>
    </xf>
    <xf numFmtId="0" fontId="16" fillId="2" borderId="0" xfId="131" applyNumberFormat="1" applyFont="1" applyFill="1" applyBorder="1" applyAlignment="1" applyProtection="1">
      <alignment horizontal="right"/>
    </xf>
    <xf numFmtId="0" fontId="16" fillId="2" borderId="16" xfId="0" applyNumberFormat="1" applyFont="1" applyFill="1" applyBorder="1" applyAlignment="1" applyProtection="1">
      <alignment horizontal="right"/>
    </xf>
    <xf numFmtId="0" fontId="16" fillId="2" borderId="16" xfId="131" applyNumberFormat="1" applyFont="1" applyFill="1" applyBorder="1" applyAlignment="1" applyProtection="1">
      <alignment horizontal="right"/>
    </xf>
    <xf numFmtId="166" fontId="16" fillId="0" borderId="8" xfId="131" applyNumberFormat="1" applyFont="1" applyBorder="1" applyAlignment="1" applyProtection="1">
      <alignment horizontal="right"/>
    </xf>
    <xf numFmtId="166" fontId="16" fillId="2" borderId="8" xfId="131" applyNumberFormat="1" applyFont="1" applyFill="1" applyBorder="1" applyAlignment="1" applyProtection="1">
      <alignment horizontal="right"/>
    </xf>
    <xf numFmtId="166" fontId="16" fillId="2" borderId="10" xfId="131" applyNumberFormat="1" applyFont="1" applyFill="1" applyBorder="1" applyAlignment="1" applyProtection="1">
      <alignment horizontal="right"/>
    </xf>
    <xf numFmtId="0" fontId="7" fillId="0" borderId="0" xfId="28"/>
    <xf numFmtId="0" fontId="21" fillId="0" borderId="0" xfId="0" applyFont="1"/>
    <xf numFmtId="0" fontId="10" fillId="7" borderId="5" xfId="0" applyFont="1" applyFill="1" applyBorder="1" applyAlignment="1">
      <alignment horizontal="center"/>
    </xf>
    <xf numFmtId="0" fontId="0" fillId="0" borderId="0" xfId="0" applyFont="1"/>
    <xf numFmtId="0" fontId="23" fillId="0" borderId="9" xfId="0" applyFont="1" applyBorder="1"/>
    <xf numFmtId="0" fontId="2" fillId="0" borderId="0" xfId="0" applyFont="1" applyBorder="1"/>
    <xf numFmtId="0" fontId="2" fillId="0" borderId="0" xfId="0" applyFont="1" applyFill="1" applyBorder="1"/>
    <xf numFmtId="0" fontId="6" fillId="0" borderId="0" xfId="0" applyFont="1"/>
    <xf numFmtId="1" fontId="10" fillId="7" borderId="35" xfId="0" applyNumberFormat="1" applyFont="1" applyFill="1" applyBorder="1"/>
    <xf numFmtId="1" fontId="10" fillId="7" borderId="12" xfId="0" applyNumberFormat="1" applyFont="1" applyFill="1" applyBorder="1"/>
    <xf numFmtId="0" fontId="25" fillId="0" borderId="0" xfId="0" applyFont="1" applyFill="1" applyBorder="1"/>
    <xf numFmtId="0" fontId="10" fillId="7" borderId="11" xfId="0" applyFont="1" applyFill="1" applyBorder="1"/>
    <xf numFmtId="174" fontId="10" fillId="7" borderId="51" xfId="0" applyNumberFormat="1" applyFont="1" applyFill="1" applyBorder="1" applyAlignment="1" applyProtection="1">
      <alignment horizontal="left"/>
    </xf>
    <xf numFmtId="0" fontId="16" fillId="0" borderId="7" xfId="0" applyFont="1" applyBorder="1"/>
    <xf numFmtId="0" fontId="16" fillId="0" borderId="7" xfId="0" applyFont="1" applyFill="1" applyBorder="1"/>
    <xf numFmtId="0" fontId="16" fillId="8" borderId="7" xfId="0" applyFont="1" applyFill="1" applyBorder="1"/>
    <xf numFmtId="0" fontId="16" fillId="0" borderId="0" xfId="0" applyFont="1" applyFill="1"/>
    <xf numFmtId="0" fontId="3" fillId="0" borderId="0" xfId="0" applyFont="1"/>
    <xf numFmtId="0" fontId="2" fillId="0" borderId="0" xfId="0" applyFont="1"/>
    <xf numFmtId="0" fontId="3" fillId="0" borderId="0" xfId="0" applyNumberFormat="1" applyFont="1" applyAlignment="1">
      <alignment horizontal="right"/>
    </xf>
    <xf numFmtId="0" fontId="3" fillId="0" borderId="0" xfId="0" applyNumberFormat="1" applyFont="1"/>
    <xf numFmtId="167" fontId="16" fillId="0" borderId="0" xfId="0" applyNumberFormat="1" applyFont="1"/>
    <xf numFmtId="0" fontId="23" fillId="0" borderId="0" xfId="0" applyNumberFormat="1" applyFont="1" applyAlignment="1">
      <alignment horizontal="right"/>
    </xf>
    <xf numFmtId="0" fontId="23" fillId="0" borderId="0" xfId="0" applyNumberFormat="1" applyFont="1"/>
    <xf numFmtId="0" fontId="10" fillId="7" borderId="42" xfId="0" applyNumberFormat="1" applyFont="1" applyFill="1" applyBorder="1" applyAlignment="1">
      <alignment horizontal="right"/>
    </xf>
    <xf numFmtId="0" fontId="10" fillId="7" borderId="42" xfId="0" applyNumberFormat="1" applyFont="1" applyFill="1" applyBorder="1"/>
    <xf numFmtId="0" fontId="10" fillId="7" borderId="12" xfId="0" applyNumberFormat="1" applyFont="1" applyFill="1" applyBorder="1"/>
    <xf numFmtId="0" fontId="10" fillId="7" borderId="40" xfId="0" applyFont="1" applyFill="1" applyBorder="1"/>
    <xf numFmtId="0" fontId="10" fillId="7" borderId="46" xfId="0" applyFont="1" applyFill="1" applyBorder="1"/>
    <xf numFmtId="167" fontId="16" fillId="8" borderId="43" xfId="0" applyNumberFormat="1" applyFont="1" applyFill="1" applyBorder="1"/>
    <xf numFmtId="0" fontId="10" fillId="7" borderId="41" xfId="0" applyFont="1" applyFill="1" applyBorder="1"/>
    <xf numFmtId="38" fontId="23" fillId="0" borderId="10" xfId="0" applyNumberFormat="1" applyFont="1" applyBorder="1"/>
    <xf numFmtId="0" fontId="16" fillId="0" borderId="0" xfId="0" applyFont="1" applyFill="1" applyBorder="1"/>
    <xf numFmtId="174" fontId="16" fillId="0" borderId="0" xfId="0" applyNumberFormat="1" applyFont="1" applyFill="1" applyBorder="1" applyAlignment="1" applyProtection="1">
      <alignment horizontal="left"/>
    </xf>
    <xf numFmtId="174" fontId="10" fillId="7" borderId="11" xfId="0" applyNumberFormat="1" applyFont="1" applyFill="1" applyBorder="1" applyAlignment="1" applyProtection="1">
      <alignment horizontal="left"/>
    </xf>
    <xf numFmtId="174" fontId="10" fillId="7" borderId="42" xfId="0" applyNumberFormat="1" applyFont="1" applyFill="1" applyBorder="1" applyAlignment="1" applyProtection="1">
      <alignment horizontal="left"/>
    </xf>
    <xf numFmtId="0" fontId="16" fillId="6" borderId="7" xfId="0" applyFont="1" applyFill="1" applyBorder="1"/>
    <xf numFmtId="0" fontId="16" fillId="6" borderId="0" xfId="0" applyFont="1" applyFill="1" applyBorder="1"/>
    <xf numFmtId="1" fontId="16" fillId="6" borderId="36" xfId="0" applyNumberFormat="1" applyFont="1" applyFill="1" applyBorder="1"/>
    <xf numFmtId="38" fontId="16" fillId="6" borderId="8" xfId="0" applyNumberFormat="1" applyFont="1" applyFill="1" applyBorder="1"/>
    <xf numFmtId="1" fontId="16" fillId="6" borderId="37" xfId="0" applyNumberFormat="1" applyFont="1" applyFill="1" applyBorder="1"/>
    <xf numFmtId="0" fontId="16" fillId="6" borderId="0" xfId="0" applyFont="1" applyFill="1" applyBorder="1" applyAlignment="1">
      <alignment horizontal="left" wrapText="1"/>
    </xf>
    <xf numFmtId="1" fontId="16" fillId="6" borderId="38" xfId="0" applyNumberFormat="1" applyFont="1" applyFill="1" applyBorder="1"/>
    <xf numFmtId="0" fontId="23" fillId="7" borderId="11" xfId="0" applyFont="1" applyFill="1" applyBorder="1"/>
    <xf numFmtId="0" fontId="16" fillId="7" borderId="42" xfId="0" applyFont="1" applyFill="1" applyBorder="1"/>
    <xf numFmtId="38" fontId="23" fillId="7" borderId="42" xfId="0" applyNumberFormat="1" applyFont="1" applyFill="1" applyBorder="1"/>
    <xf numFmtId="0" fontId="23" fillId="0" borderId="0" xfId="0" applyFont="1" applyFill="1" applyBorder="1" applyAlignment="1">
      <alignment wrapText="1"/>
    </xf>
    <xf numFmtId="0" fontId="16" fillId="0" borderId="0" xfId="0" applyFont="1" applyFill="1"/>
    <xf numFmtId="38" fontId="16" fillId="0" borderId="0" xfId="0" applyNumberFormat="1" applyFont="1" applyFill="1"/>
    <xf numFmtId="0" fontId="23" fillId="0" borderId="0" xfId="0" applyFont="1" applyBorder="1" applyAlignment="1">
      <alignment vertical="center"/>
    </xf>
    <xf numFmtId="0" fontId="16" fillId="8" borderId="47" xfId="0" applyFont="1" applyFill="1" applyBorder="1"/>
    <xf numFmtId="0" fontId="16" fillId="0" borderId="0" xfId="0" applyFont="1" applyAlignment="1">
      <alignment vertical="center"/>
    </xf>
    <xf numFmtId="0" fontId="16" fillId="0" borderId="0" xfId="0" applyFont="1"/>
    <xf numFmtId="0" fontId="23" fillId="0" borderId="0" xfId="0" applyFont="1"/>
    <xf numFmtId="3" fontId="10" fillId="10" borderId="0" xfId="0" applyNumberFormat="1" applyFont="1" applyFill="1" applyBorder="1" applyAlignment="1">
      <alignment horizontal="center"/>
    </xf>
    <xf numFmtId="0" fontId="10" fillId="10" borderId="0" xfId="0" applyFont="1" applyFill="1" applyBorder="1" applyAlignment="1">
      <alignment horizontal="center"/>
    </xf>
    <xf numFmtId="3" fontId="10" fillId="10" borderId="0" xfId="0" applyNumberFormat="1" applyFont="1" applyFill="1" applyBorder="1" applyAlignment="1" applyProtection="1">
      <alignment horizontal="center"/>
    </xf>
    <xf numFmtId="0" fontId="19" fillId="0" borderId="0" xfId="0" applyFont="1" applyFill="1"/>
    <xf numFmtId="1" fontId="10" fillId="0" borderId="0" xfId="0" applyNumberFormat="1" applyFont="1" applyFill="1"/>
    <xf numFmtId="0" fontId="23" fillId="0" borderId="0" xfId="0" applyFont="1" applyFill="1"/>
    <xf numFmtId="171" fontId="23" fillId="0" borderId="0" xfId="0" applyNumberFormat="1" applyFont="1" applyFill="1"/>
    <xf numFmtId="171" fontId="23" fillId="0" borderId="0" xfId="0" applyNumberFormat="1" applyFont="1" applyFill="1" applyBorder="1" applyAlignment="1" applyProtection="1">
      <alignment horizontal="right"/>
    </xf>
    <xf numFmtId="171" fontId="0" fillId="0" borderId="0" xfId="0" applyNumberFormat="1" applyFont="1"/>
    <xf numFmtId="171" fontId="23" fillId="13" borderId="44" xfId="0" applyNumberFormat="1" applyFont="1" applyFill="1" applyBorder="1" applyProtection="1"/>
    <xf numFmtId="171" fontId="16" fillId="0" borderId="0" xfId="0" applyNumberFormat="1" applyFont="1" applyBorder="1"/>
    <xf numFmtId="9" fontId="16" fillId="0" borderId="8" xfId="0" applyNumberFormat="1" applyFont="1" applyBorder="1"/>
    <xf numFmtId="171" fontId="16" fillId="12" borderId="0" xfId="0" applyNumberFormat="1" applyFont="1" applyFill="1" applyBorder="1"/>
    <xf numFmtId="1" fontId="10" fillId="10" borderId="7" xfId="0" applyNumberFormat="1" applyFont="1" applyFill="1" applyBorder="1"/>
    <xf numFmtId="1" fontId="10" fillId="10" borderId="9" xfId="0" applyNumberFormat="1" applyFont="1" applyFill="1" applyBorder="1"/>
    <xf numFmtId="171" fontId="23" fillId="9" borderId="16" xfId="0" applyNumberFormat="1" applyFont="1" applyFill="1" applyBorder="1" applyProtection="1"/>
    <xf numFmtId="9" fontId="23" fillId="9" borderId="10" xfId="0" applyNumberFormat="1" applyFont="1" applyFill="1" applyBorder="1"/>
    <xf numFmtId="3" fontId="10" fillId="10" borderId="15" xfId="0" applyNumberFormat="1" applyFont="1" applyFill="1" applyBorder="1" applyAlignment="1">
      <alignment horizontal="center"/>
    </xf>
    <xf numFmtId="0" fontId="10" fillId="10" borderId="15" xfId="0" applyFont="1" applyFill="1" applyBorder="1" applyAlignment="1">
      <alignment horizontal="center"/>
    </xf>
    <xf numFmtId="3" fontId="10" fillId="10" borderId="15" xfId="0" applyNumberFormat="1" applyFont="1" applyFill="1" applyBorder="1" applyAlignment="1" applyProtection="1">
      <alignment horizontal="center"/>
    </xf>
    <xf numFmtId="167" fontId="10" fillId="10" borderId="15" xfId="0" applyNumberFormat="1" applyFont="1" applyFill="1" applyBorder="1" applyAlignment="1">
      <alignment horizontal="center"/>
    </xf>
    <xf numFmtId="0" fontId="23" fillId="0" borderId="45" xfId="0" applyFont="1" applyBorder="1"/>
    <xf numFmtId="171" fontId="16" fillId="0" borderId="7" xfId="0" applyNumberFormat="1" applyFont="1" applyFill="1" applyBorder="1"/>
    <xf numFmtId="171" fontId="23" fillId="0" borderId="47" xfId="0" applyNumberFormat="1" applyFont="1" applyFill="1" applyBorder="1"/>
    <xf numFmtId="171" fontId="23" fillId="9" borderId="9" xfId="0" applyNumberFormat="1" applyFont="1" applyFill="1" applyBorder="1"/>
    <xf numFmtId="171" fontId="16" fillId="12" borderId="7" xfId="0" applyNumberFormat="1" applyFont="1" applyFill="1" applyBorder="1"/>
    <xf numFmtId="1" fontId="10" fillId="10" borderId="15" xfId="0" applyNumberFormat="1" applyFont="1" applyFill="1" applyBorder="1" applyAlignment="1">
      <alignment horizontal="center"/>
    </xf>
    <xf numFmtId="175" fontId="10" fillId="10" borderId="15" xfId="0" applyNumberFormat="1" applyFont="1" applyFill="1" applyBorder="1" applyAlignment="1">
      <alignment horizontal="center"/>
    </xf>
    <xf numFmtId="171" fontId="16" fillId="0" borderId="8" xfId="0" applyNumberFormat="1" applyFont="1" applyBorder="1"/>
    <xf numFmtId="171" fontId="16" fillId="12" borderId="8" xfId="0" applyNumberFormat="1" applyFont="1" applyFill="1" applyBorder="1"/>
    <xf numFmtId="171" fontId="16" fillId="0" borderId="44" xfId="0" applyNumberFormat="1" applyFont="1" applyBorder="1"/>
    <xf numFmtId="171" fontId="16" fillId="0" borderId="45" xfId="0" applyNumberFormat="1" applyFont="1" applyBorder="1"/>
    <xf numFmtId="171" fontId="10" fillId="10" borderId="7" xfId="0" applyNumberFormat="1" applyFont="1" applyFill="1" applyBorder="1" applyAlignment="1">
      <alignment horizontal="center"/>
    </xf>
    <xf numFmtId="171" fontId="10" fillId="10" borderId="8" xfId="0" applyNumberFormat="1" applyFont="1" applyFill="1" applyBorder="1" applyAlignment="1">
      <alignment horizontal="center"/>
    </xf>
    <xf numFmtId="167" fontId="10" fillId="10" borderId="0" xfId="0" applyNumberFormat="1" applyFont="1" applyFill="1" applyBorder="1" applyAlignment="1">
      <alignment horizontal="center"/>
    </xf>
    <xf numFmtId="175" fontId="10" fillId="10" borderId="0" xfId="0" applyNumberFormat="1" applyFont="1" applyFill="1" applyBorder="1" applyAlignment="1">
      <alignment horizontal="center"/>
    </xf>
    <xf numFmtId="175" fontId="10" fillId="10" borderId="7" xfId="0" applyNumberFormat="1" applyFont="1" applyFill="1" applyBorder="1" applyAlignment="1">
      <alignment horizontal="center"/>
    </xf>
    <xf numFmtId="175" fontId="10" fillId="10" borderId="8" xfId="0" applyNumberFormat="1" applyFont="1" applyFill="1" applyBorder="1" applyAlignment="1">
      <alignment horizontal="center"/>
    </xf>
    <xf numFmtId="175" fontId="0" fillId="0" borderId="0" xfId="0" applyNumberFormat="1" applyFont="1"/>
    <xf numFmtId="0" fontId="2" fillId="0" borderId="0" xfId="0" applyFont="1" applyFill="1"/>
    <xf numFmtId="167" fontId="3" fillId="0" borderId="0" xfId="0" applyNumberFormat="1" applyFont="1" applyFill="1" applyAlignment="1">
      <alignment horizontal="center"/>
    </xf>
    <xf numFmtId="1" fontId="2" fillId="0" borderId="0" xfId="0" applyNumberFormat="1" applyFont="1" applyFill="1" applyBorder="1" applyAlignment="1" applyProtection="1">
      <alignment horizontal="left"/>
    </xf>
    <xf numFmtId="0" fontId="16" fillId="0" borderId="0" xfId="0" applyFont="1" applyFill="1" applyBorder="1"/>
    <xf numFmtId="0" fontId="10" fillId="0" borderId="0" xfId="0" applyFont="1" applyFill="1" applyBorder="1"/>
    <xf numFmtId="17" fontId="10" fillId="7" borderId="42" xfId="0" applyNumberFormat="1" applyFont="1" applyFill="1" applyBorder="1" applyAlignment="1">
      <alignment horizontal="right"/>
    </xf>
    <xf numFmtId="0" fontId="27" fillId="14" borderId="56" xfId="0" applyFont="1" applyFill="1" applyBorder="1" applyAlignment="1">
      <alignment vertical="center"/>
    </xf>
    <xf numFmtId="0" fontId="27" fillId="14" borderId="57" xfId="0" applyFont="1" applyFill="1" applyBorder="1" applyAlignment="1">
      <alignment vertical="center"/>
    </xf>
    <xf numFmtId="0" fontId="27" fillId="14" borderId="58" xfId="0" applyFont="1" applyFill="1" applyBorder="1" applyAlignment="1">
      <alignment vertical="center"/>
    </xf>
    <xf numFmtId="0" fontId="27" fillId="14" borderId="59" xfId="0" applyFont="1" applyFill="1" applyBorder="1" applyAlignment="1">
      <alignment vertical="center"/>
    </xf>
    <xf numFmtId="167" fontId="16" fillId="0" borderId="16" xfId="0" applyNumberFormat="1" applyFont="1" applyFill="1" applyBorder="1"/>
    <xf numFmtId="175" fontId="0" fillId="0" borderId="0" xfId="0" applyNumberFormat="1" applyFill="1" applyAlignment="1">
      <alignment horizontal="right"/>
    </xf>
    <xf numFmtId="1" fontId="0" fillId="0" borderId="0" xfId="0" applyNumberFormat="1" applyFill="1"/>
    <xf numFmtId="44" fontId="1" fillId="0" borderId="0" xfId="6470" applyFont="1"/>
    <xf numFmtId="0" fontId="3" fillId="0" borderId="0" xfId="0" applyFont="1" applyFill="1"/>
    <xf numFmtId="1" fontId="3" fillId="0" borderId="0" xfId="0" applyNumberFormat="1" applyFont="1" applyFill="1"/>
    <xf numFmtId="0" fontId="1" fillId="0" borderId="0" xfId="0" applyFont="1"/>
    <xf numFmtId="1" fontId="2" fillId="0" borderId="0" xfId="0" applyNumberFormat="1" applyFont="1" applyFill="1"/>
    <xf numFmtId="176" fontId="3" fillId="0" borderId="0" xfId="0" applyNumberFormat="1" applyFont="1" applyFill="1"/>
    <xf numFmtId="0" fontId="0" fillId="0" borderId="0" xfId="0" applyFill="1"/>
    <xf numFmtId="175" fontId="0" fillId="0" borderId="0" xfId="0" applyNumberFormat="1" applyFont="1" applyFill="1"/>
    <xf numFmtId="44" fontId="1" fillId="0" borderId="0" xfId="0" applyNumberFormat="1" applyFont="1"/>
    <xf numFmtId="176" fontId="0" fillId="0" borderId="0" xfId="0" applyNumberFormat="1" applyFill="1"/>
    <xf numFmtId="175" fontId="0" fillId="0" borderId="0" xfId="0" applyNumberFormat="1" applyFill="1"/>
    <xf numFmtId="175" fontId="2" fillId="0" borderId="0" xfId="0" applyNumberFormat="1" applyFont="1" applyFill="1"/>
    <xf numFmtId="175" fontId="3" fillId="0" borderId="0" xfId="0" applyNumberFormat="1" applyFont="1" applyFill="1"/>
    <xf numFmtId="0" fontId="10" fillId="46" borderId="5" xfId="0" applyFont="1" applyFill="1" applyBorder="1"/>
    <xf numFmtId="0" fontId="10" fillId="46" borderId="15" xfId="0" applyFont="1" applyFill="1" applyBorder="1"/>
    <xf numFmtId="0" fontId="10" fillId="46" borderId="6" xfId="0" applyFont="1" applyFill="1" applyBorder="1"/>
    <xf numFmtId="0" fontId="10" fillId="7" borderId="15" xfId="0" applyFont="1" applyFill="1" applyBorder="1" applyAlignment="1">
      <alignment horizontal="center"/>
    </xf>
    <xf numFmtId="0" fontId="10" fillId="7" borderId="6" xfId="0" applyFont="1" applyFill="1" applyBorder="1" applyAlignment="1">
      <alignment horizontal="center" wrapText="1"/>
    </xf>
    <xf numFmtId="44" fontId="16" fillId="0" borderId="0" xfId="6470" applyFont="1" applyBorder="1"/>
    <xf numFmtId="44" fontId="1" fillId="0" borderId="0" xfId="6470" applyFont="1" applyBorder="1"/>
    <xf numFmtId="0" fontId="10" fillId="10" borderId="15" xfId="0" applyFont="1" applyFill="1" applyBorder="1"/>
    <xf numFmtId="0" fontId="10" fillId="10" borderId="6" xfId="0" applyFont="1" applyFill="1" applyBorder="1"/>
    <xf numFmtId="0" fontId="10" fillId="10" borderId="7" xfId="0" applyFont="1" applyFill="1" applyBorder="1" applyAlignment="1">
      <alignment vertical="top" wrapText="1"/>
    </xf>
    <xf numFmtId="0" fontId="10" fillId="10" borderId="9" xfId="0" applyFont="1" applyFill="1" applyBorder="1" applyAlignment="1">
      <alignment vertical="top" wrapText="1"/>
    </xf>
    <xf numFmtId="44" fontId="16" fillId="13" borderId="16" xfId="6470" applyFont="1" applyFill="1" applyBorder="1"/>
    <xf numFmtId="9" fontId="0" fillId="13" borderId="10" xfId="131" applyFont="1" applyFill="1" applyBorder="1"/>
    <xf numFmtId="44" fontId="16" fillId="12" borderId="0" xfId="6470" applyFont="1" applyFill="1" applyBorder="1"/>
    <xf numFmtId="166" fontId="0" fillId="0" borderId="8" xfId="131" applyNumberFormat="1" applyFont="1" applyBorder="1"/>
    <xf numFmtId="166" fontId="0" fillId="12" borderId="8" xfId="131" applyNumberFormat="1" applyFont="1" applyFill="1" applyBorder="1"/>
    <xf numFmtId="0" fontId="10" fillId="47" borderId="5" xfId="0" applyFont="1" applyFill="1" applyBorder="1"/>
    <xf numFmtId="0" fontId="10" fillId="47" borderId="15" xfId="0" applyFont="1" applyFill="1" applyBorder="1"/>
    <xf numFmtId="0" fontId="10" fillId="47" borderId="6" xfId="0" applyFont="1" applyFill="1" applyBorder="1"/>
    <xf numFmtId="0" fontId="10" fillId="47" borderId="7" xfId="0" applyFont="1" applyFill="1" applyBorder="1" applyAlignment="1"/>
    <xf numFmtId="0" fontId="10" fillId="47" borderId="9" xfId="0" applyFont="1" applyFill="1" applyBorder="1" applyAlignment="1"/>
    <xf numFmtId="178" fontId="16" fillId="0" borderId="0" xfId="6470" applyNumberFormat="1" applyFont="1" applyBorder="1" applyAlignment="1"/>
    <xf numFmtId="178" fontId="16" fillId="50" borderId="0" xfId="6470" applyNumberFormat="1" applyFont="1" applyFill="1" applyBorder="1" applyAlignment="1"/>
    <xf numFmtId="0" fontId="10" fillId="7" borderId="7" xfId="0" applyFont="1" applyFill="1" applyBorder="1"/>
    <xf numFmtId="0" fontId="10" fillId="7" borderId="9" xfId="0" applyFont="1" applyFill="1" applyBorder="1"/>
    <xf numFmtId="178" fontId="16" fillId="48" borderId="0" xfId="6470" applyNumberFormat="1" applyFont="1" applyFill="1" applyBorder="1" applyAlignment="1"/>
    <xf numFmtId="178" fontId="1" fillId="48" borderId="0" xfId="6470" applyNumberFormat="1" applyFont="1" applyFill="1" applyBorder="1"/>
    <xf numFmtId="178" fontId="16" fillId="49" borderId="16" xfId="6470" applyNumberFormat="1" applyFont="1" applyFill="1" applyBorder="1" applyAlignment="1"/>
    <xf numFmtId="9" fontId="0" fillId="49" borderId="10" xfId="131" applyFont="1" applyFill="1" applyBorder="1"/>
    <xf numFmtId="0" fontId="10" fillId="5" borderId="5" xfId="0" applyFont="1" applyFill="1" applyBorder="1"/>
    <xf numFmtId="0" fontId="10" fillId="5" borderId="6" xfId="0" applyFont="1" applyFill="1" applyBorder="1" applyAlignment="1">
      <alignment horizontal="right"/>
    </xf>
    <xf numFmtId="6" fontId="16" fillId="0" borderId="8" xfId="0" applyNumberFormat="1" applyFont="1" applyBorder="1" applyAlignment="1">
      <alignment horizontal="right"/>
    </xf>
    <xf numFmtId="0" fontId="10" fillId="5" borderId="7" xfId="0" applyFont="1" applyFill="1" applyBorder="1"/>
    <xf numFmtId="0" fontId="19" fillId="5" borderId="8" xfId="0" applyFont="1" applyFill="1" applyBorder="1" applyAlignment="1">
      <alignment horizontal="right"/>
    </xf>
    <xf numFmtId="1" fontId="16" fillId="0" borderId="8" xfId="0" applyNumberFormat="1" applyFont="1" applyBorder="1" applyAlignment="1">
      <alignment horizontal="right"/>
    </xf>
    <xf numFmtId="9" fontId="16" fillId="0" borderId="8" xfId="0" applyNumberFormat="1" applyFont="1" applyBorder="1" applyAlignment="1">
      <alignment horizontal="right"/>
    </xf>
    <xf numFmtId="0" fontId="16" fillId="0" borderId="7" xfId="0" applyFont="1" applyBorder="1" applyAlignment="1">
      <alignment vertical="top"/>
    </xf>
    <xf numFmtId="167" fontId="16" fillId="0" borderId="8" xfId="0" applyNumberFormat="1" applyFont="1" applyBorder="1" applyAlignment="1">
      <alignment horizontal="right"/>
    </xf>
    <xf numFmtId="0" fontId="16" fillId="0" borderId="7" xfId="0" applyFont="1" applyBorder="1" applyAlignment="1">
      <alignment wrapText="1"/>
    </xf>
    <xf numFmtId="0" fontId="16" fillId="2" borderId="7" xfId="0" applyFont="1" applyFill="1" applyBorder="1"/>
    <xf numFmtId="6" fontId="16" fillId="2" borderId="8" xfId="0" applyNumberFormat="1" applyFont="1" applyFill="1" applyBorder="1" applyAlignment="1">
      <alignment horizontal="right"/>
    </xf>
    <xf numFmtId="1" fontId="16" fillId="2" borderId="8" xfId="0" applyNumberFormat="1" applyFont="1" applyFill="1" applyBorder="1" applyAlignment="1">
      <alignment horizontal="right"/>
    </xf>
    <xf numFmtId="9" fontId="16" fillId="2" borderId="8" xfId="0" applyNumberFormat="1" applyFont="1" applyFill="1" applyBorder="1" applyAlignment="1">
      <alignment horizontal="right"/>
    </xf>
    <xf numFmtId="0" fontId="16" fillId="2" borderId="7" xfId="0" applyFont="1" applyFill="1" applyBorder="1" applyAlignment="1">
      <alignment vertical="top"/>
    </xf>
    <xf numFmtId="3" fontId="16" fillId="2" borderId="8" xfId="0" applyNumberFormat="1" applyFont="1" applyFill="1" applyBorder="1" applyAlignment="1">
      <alignment horizontal="right" wrapText="1"/>
    </xf>
    <xf numFmtId="0" fontId="16" fillId="2" borderId="9" xfId="0" applyFont="1" applyFill="1" applyBorder="1"/>
    <xf numFmtId="9" fontId="16" fillId="2" borderId="10" xfId="0" applyNumberFormat="1" applyFont="1" applyFill="1" applyBorder="1" applyAlignment="1">
      <alignment horizontal="right"/>
    </xf>
    <xf numFmtId="4" fontId="0" fillId="0" borderId="0" xfId="0" applyNumberFormat="1"/>
    <xf numFmtId="0" fontId="10" fillId="10" borderId="56" xfId="0" applyFont="1" applyFill="1" applyBorder="1"/>
    <xf numFmtId="9" fontId="16" fillId="6" borderId="0" xfId="0" applyNumberFormat="1" applyFont="1" applyFill="1" applyBorder="1"/>
    <xf numFmtId="9" fontId="16" fillId="6" borderId="8" xfId="0" applyNumberFormat="1" applyFont="1" applyFill="1" applyBorder="1"/>
    <xf numFmtId="0" fontId="10" fillId="10" borderId="56" xfId="0" applyFont="1" applyFill="1" applyBorder="1" applyAlignment="1">
      <alignment wrapText="1"/>
    </xf>
    <xf numFmtId="9" fontId="16" fillId="12" borderId="0" xfId="0" applyNumberFormat="1" applyFont="1" applyFill="1" applyBorder="1"/>
    <xf numFmtId="9" fontId="16" fillId="12" borderId="8" xfId="0" applyNumberFormat="1" applyFont="1" applyFill="1" applyBorder="1"/>
    <xf numFmtId="9" fontId="16" fillId="6" borderId="16" xfId="0" applyNumberFormat="1" applyFont="1" applyFill="1" applyBorder="1"/>
    <xf numFmtId="9" fontId="16" fillId="6" borderId="10" xfId="0" applyNumberFormat="1" applyFont="1" applyFill="1" applyBorder="1"/>
    <xf numFmtId="1" fontId="16" fillId="0" borderId="8" xfId="0" applyNumberFormat="1" applyFont="1" applyBorder="1" applyAlignment="1" applyProtection="1">
      <alignment horizontal="right"/>
    </xf>
    <xf numFmtId="1" fontId="16" fillId="2" borderId="8" xfId="0" applyNumberFormat="1" applyFont="1" applyFill="1" applyBorder="1" applyAlignment="1" applyProtection="1">
      <alignment horizontal="right"/>
    </xf>
    <xf numFmtId="1" fontId="16" fillId="2" borderId="10" xfId="0" applyNumberFormat="1" applyFont="1" applyFill="1" applyBorder="1" applyAlignment="1" applyProtection="1">
      <alignment horizontal="right"/>
    </xf>
    <xf numFmtId="1" fontId="0" fillId="0" borderId="0" xfId="0" applyNumberFormat="1"/>
    <xf numFmtId="1" fontId="16" fillId="0" borderId="0" xfId="0" applyNumberFormat="1" applyFont="1" applyBorder="1" applyAlignment="1" applyProtection="1">
      <alignment horizontal="right"/>
    </xf>
    <xf numFmtId="1" fontId="16" fillId="2" borderId="0" xfId="0" applyNumberFormat="1" applyFont="1" applyFill="1" applyBorder="1" applyAlignment="1" applyProtection="1">
      <alignment horizontal="right"/>
    </xf>
    <xf numFmtId="1" fontId="16" fillId="2" borderId="16" xfId="0" applyNumberFormat="1" applyFont="1" applyFill="1" applyBorder="1" applyAlignment="1" applyProtection="1">
      <alignment horizontal="right"/>
    </xf>
    <xf numFmtId="172" fontId="3" fillId="0" borderId="0" xfId="0" applyNumberFormat="1" applyFont="1" applyProtection="1"/>
    <xf numFmtId="2" fontId="0" fillId="0" borderId="8" xfId="0" applyNumberFormat="1" applyFill="1" applyBorder="1"/>
    <xf numFmtId="2" fontId="0" fillId="2" borderId="8" xfId="0" applyNumberFormat="1" applyFill="1" applyBorder="1"/>
    <xf numFmtId="2" fontId="0" fillId="2" borderId="10" xfId="0" applyNumberFormat="1" applyFill="1" applyBorder="1"/>
    <xf numFmtId="165" fontId="0" fillId="2" borderId="16" xfId="0" applyNumberFormat="1" applyFill="1" applyBorder="1" applyAlignment="1">
      <alignment horizontal="right"/>
    </xf>
    <xf numFmtId="165" fontId="0" fillId="2" borderId="23" xfId="0" applyNumberFormat="1" applyFill="1" applyBorder="1" applyAlignment="1">
      <alignment horizontal="right"/>
    </xf>
    <xf numFmtId="0" fontId="10" fillId="10" borderId="5" xfId="0" applyFont="1" applyFill="1" applyBorder="1"/>
    <xf numFmtId="1" fontId="10" fillId="10" borderId="36" xfId="0" applyNumberFormat="1" applyFont="1" applyFill="1" applyBorder="1" applyAlignment="1">
      <alignment horizontal="center"/>
    </xf>
    <xf numFmtId="1" fontId="10" fillId="10" borderId="7" xfId="0" applyNumberFormat="1" applyFont="1" applyFill="1" applyBorder="1" applyAlignment="1" applyProtection="1">
      <alignment horizontal="left"/>
    </xf>
    <xf numFmtId="3" fontId="10" fillId="10" borderId="54" xfId="0" applyNumberFormat="1" applyFont="1" applyFill="1" applyBorder="1" applyAlignment="1" applyProtection="1">
      <alignment horizontal="center"/>
    </xf>
    <xf numFmtId="3" fontId="10" fillId="10" borderId="52" xfId="0" applyNumberFormat="1" applyFont="1" applyFill="1" applyBorder="1" applyAlignment="1" applyProtection="1">
      <alignment horizontal="center"/>
    </xf>
    <xf numFmtId="0" fontId="41" fillId="11" borderId="7" xfId="0" applyFont="1" applyFill="1" applyBorder="1" applyAlignment="1">
      <alignment vertical="center"/>
    </xf>
    <xf numFmtId="3" fontId="16" fillId="12" borderId="0" xfId="0" applyNumberFormat="1" applyFont="1" applyFill="1" applyBorder="1" applyProtection="1"/>
    <xf numFmtId="3" fontId="16" fillId="12" borderId="13" xfId="0" applyNumberFormat="1" applyFont="1" applyFill="1" applyBorder="1"/>
    <xf numFmtId="3" fontId="16" fillId="6" borderId="0" xfId="0" applyNumberFormat="1" applyFont="1" applyFill="1" applyBorder="1" applyProtection="1"/>
    <xf numFmtId="167" fontId="16" fillId="12" borderId="0" xfId="0" applyNumberFormat="1" applyFont="1" applyFill="1" applyBorder="1" applyProtection="1"/>
    <xf numFmtId="3" fontId="16" fillId="6" borderId="13" xfId="0" applyNumberFormat="1" applyFont="1" applyFill="1" applyBorder="1"/>
    <xf numFmtId="3" fontId="16" fillId="12" borderId="44" xfId="0" applyNumberFormat="1" applyFont="1" applyFill="1" applyBorder="1" applyProtection="1"/>
    <xf numFmtId="3" fontId="16" fillId="12" borderId="53" xfId="0" applyNumberFormat="1" applyFont="1" applyFill="1" applyBorder="1" applyProtection="1"/>
    <xf numFmtId="3" fontId="16" fillId="12" borderId="43" xfId="0" applyNumberFormat="1" applyFont="1" applyFill="1" applyBorder="1"/>
    <xf numFmtId="3" fontId="23" fillId="13" borderId="0" xfId="0" applyNumberFormat="1" applyFont="1" applyFill="1" applyBorder="1" applyProtection="1"/>
    <xf numFmtId="3" fontId="23" fillId="13" borderId="13" xfId="0" applyNumberFormat="1" applyFont="1" applyFill="1" applyBorder="1"/>
    <xf numFmtId="3" fontId="16" fillId="13" borderId="44" xfId="0" applyNumberFormat="1" applyFont="1" applyFill="1" applyBorder="1" applyProtection="1"/>
    <xf numFmtId="3" fontId="16" fillId="13" borderId="53" xfId="0" applyNumberFormat="1" applyFont="1" applyFill="1" applyBorder="1" applyProtection="1"/>
    <xf numFmtId="3" fontId="16" fillId="13" borderId="43" xfId="0" applyNumberFormat="1" applyFont="1" applyFill="1" applyBorder="1"/>
    <xf numFmtId="0" fontId="41" fillId="11" borderId="9" xfId="0" applyFont="1" applyFill="1" applyBorder="1" applyAlignment="1">
      <alignment vertical="center"/>
    </xf>
    <xf numFmtId="3" fontId="23" fillId="9" borderId="16" xfId="0" applyNumberFormat="1" applyFont="1" applyFill="1" applyBorder="1" applyProtection="1"/>
    <xf numFmtId="3" fontId="23" fillId="9" borderId="18" xfId="0" applyNumberFormat="1" applyFont="1" applyFill="1" applyBorder="1"/>
    <xf numFmtId="0" fontId="40" fillId="0" borderId="0" xfId="0" applyFont="1"/>
    <xf numFmtId="0" fontId="44" fillId="0" borderId="0" xfId="0" applyFont="1"/>
    <xf numFmtId="6" fontId="16" fillId="2" borderId="8" xfId="0" applyNumberFormat="1" applyFont="1" applyFill="1" applyBorder="1" applyAlignment="1">
      <alignment horizontal="right" wrapText="1"/>
    </xf>
    <xf numFmtId="167" fontId="16" fillId="0" borderId="44" xfId="0" applyNumberFormat="1" applyFont="1" applyFill="1" applyBorder="1"/>
    <xf numFmtId="167" fontId="16" fillId="0" borderId="44" xfId="0" applyNumberFormat="1" applyFont="1" applyFill="1" applyBorder="1" applyProtection="1"/>
    <xf numFmtId="3" fontId="16" fillId="0" borderId="0" xfId="0" applyNumberFormat="1" applyFont="1"/>
    <xf numFmtId="167" fontId="16" fillId="0" borderId="0" xfId="0" applyNumberFormat="1" applyFont="1" applyFill="1" applyBorder="1"/>
    <xf numFmtId="167" fontId="16" fillId="0" borderId="0" xfId="0" applyNumberFormat="1" applyFont="1" applyFill="1" applyBorder="1" applyProtection="1"/>
    <xf numFmtId="167" fontId="16" fillId="8" borderId="0" xfId="0" applyNumberFormat="1" applyFont="1" applyFill="1" applyBorder="1" applyProtection="1"/>
    <xf numFmtId="167" fontId="16" fillId="0" borderId="0" xfId="0" applyNumberFormat="1" applyFont="1" applyFill="1" applyBorder="1" applyAlignment="1">
      <alignment horizontal="right"/>
    </xf>
    <xf numFmtId="167" fontId="16" fillId="0" borderId="8" xfId="157" applyNumberFormat="1" applyFont="1" applyBorder="1"/>
    <xf numFmtId="167" fontId="16" fillId="8" borderId="8" xfId="157" applyNumberFormat="1" applyFont="1" applyFill="1" applyBorder="1"/>
    <xf numFmtId="167" fontId="0" fillId="0" borderId="0" xfId="0" applyNumberFormat="1"/>
    <xf numFmtId="0" fontId="45" fillId="7" borderId="39" xfId="0" applyFont="1" applyFill="1" applyBorder="1"/>
    <xf numFmtId="0" fontId="45" fillId="0" borderId="0" xfId="0" applyFont="1" applyFill="1" applyBorder="1"/>
    <xf numFmtId="0" fontId="12" fillId="0" borderId="0" xfId="0" applyFont="1"/>
    <xf numFmtId="166" fontId="0" fillId="8" borderId="8" xfId="131" applyNumberFormat="1" applyFont="1" applyFill="1" applyBorder="1"/>
    <xf numFmtId="166" fontId="0" fillId="8" borderId="10" xfId="131" applyNumberFormat="1" applyFont="1" applyFill="1" applyBorder="1"/>
    <xf numFmtId="166" fontId="2" fillId="0" borderId="0" xfId="2266" applyNumberFormat="1" applyFont="1" applyFill="1" applyBorder="1"/>
    <xf numFmtId="166" fontId="2" fillId="0" borderId="8" xfId="2266" applyNumberFormat="1" applyFont="1" applyFill="1" applyBorder="1"/>
    <xf numFmtId="0" fontId="45" fillId="73" borderId="39" xfId="0" applyFont="1" applyFill="1" applyBorder="1"/>
    <xf numFmtId="0" fontId="65" fillId="0" borderId="0" xfId="0" applyFont="1"/>
    <xf numFmtId="0" fontId="0" fillId="12" borderId="12" xfId="0" applyFill="1" applyBorder="1"/>
    <xf numFmtId="0" fontId="10" fillId="10" borderId="11" xfId="0" applyFont="1" applyFill="1" applyBorder="1"/>
    <xf numFmtId="38" fontId="10" fillId="10" borderId="55" xfId="0" quotePrefix="1" applyNumberFormat="1" applyFont="1" applyFill="1" applyBorder="1" applyAlignment="1" applyProtection="1">
      <alignment horizontal="center"/>
    </xf>
    <xf numFmtId="0" fontId="19" fillId="0" borderId="0" xfId="0" applyFont="1" applyAlignment="1">
      <alignment horizontal="left"/>
    </xf>
    <xf numFmtId="166" fontId="16" fillId="12" borderId="78" xfId="131" applyNumberFormat="1" applyFont="1" applyFill="1" applyBorder="1"/>
    <xf numFmtId="166" fontId="16" fillId="6" borderId="20" xfId="131" applyNumberFormat="1" applyFont="1" applyFill="1" applyBorder="1"/>
    <xf numFmtId="166" fontId="16" fillId="12" borderId="20" xfId="131" applyNumberFormat="1" applyFont="1" applyFill="1" applyBorder="1"/>
    <xf numFmtId="166" fontId="16" fillId="12" borderId="79" xfId="131" applyNumberFormat="1" applyFont="1" applyFill="1" applyBorder="1"/>
    <xf numFmtId="166" fontId="23" fillId="13" borderId="20" xfId="131" applyNumberFormat="1" applyFont="1" applyFill="1" applyBorder="1"/>
    <xf numFmtId="166" fontId="16" fillId="13" borderId="79" xfId="131" applyNumberFormat="1" applyFont="1" applyFill="1" applyBorder="1"/>
    <xf numFmtId="166" fontId="23" fillId="9" borderId="21" xfId="131" applyNumberFormat="1" applyFont="1" applyFill="1" applyBorder="1"/>
    <xf numFmtId="44" fontId="0" fillId="0" borderId="0" xfId="0" applyNumberFormat="1" applyBorder="1"/>
    <xf numFmtId="0" fontId="27" fillId="14" borderId="0" xfId="0" applyFont="1" applyFill="1" applyBorder="1" applyAlignment="1">
      <alignment vertical="center"/>
    </xf>
    <xf numFmtId="0" fontId="2" fillId="0" borderId="0" xfId="1275"/>
    <xf numFmtId="0" fontId="6" fillId="0" borderId="0" xfId="1275" applyFont="1"/>
    <xf numFmtId="0" fontId="2" fillId="0" borderId="24" xfId="1275" applyFont="1" applyBorder="1"/>
    <xf numFmtId="0" fontId="2" fillId="0" borderId="25" xfId="1275" applyBorder="1"/>
    <xf numFmtId="0" fontId="17" fillId="0" borderId="0" xfId="1275" applyFont="1"/>
    <xf numFmtId="0" fontId="2" fillId="0" borderId="26" xfId="1275" applyFont="1" applyBorder="1"/>
    <xf numFmtId="0" fontId="2" fillId="0" borderId="27" xfId="1275" applyBorder="1"/>
    <xf numFmtId="0" fontId="2" fillId="0" borderId="0" xfId="1275" applyFont="1"/>
    <xf numFmtId="0" fontId="4" fillId="0" borderId="0" xfId="1275" applyFont="1"/>
    <xf numFmtId="0" fontId="5" fillId="0" borderId="0" xfId="1275" applyFont="1"/>
    <xf numFmtId="17" fontId="10" fillId="7" borderId="12" xfId="0" applyNumberFormat="1" applyFont="1" applyFill="1" applyBorder="1" applyAlignment="1">
      <alignment horizontal="right"/>
    </xf>
    <xf numFmtId="3" fontId="23" fillId="8" borderId="16" xfId="0" applyNumberFormat="1" applyFont="1" applyFill="1" applyBorder="1" applyProtection="1"/>
    <xf numFmtId="3" fontId="23" fillId="8" borderId="10" xfId="0" applyNumberFormat="1" applyFont="1" applyFill="1" applyBorder="1" applyProtection="1"/>
    <xf numFmtId="167" fontId="16" fillId="0" borderId="43" xfId="0" applyNumberFormat="1" applyFont="1" applyFill="1" applyBorder="1"/>
    <xf numFmtId="167" fontId="16" fillId="0" borderId="45" xfId="0" applyNumberFormat="1" applyFont="1" applyFill="1" applyBorder="1"/>
    <xf numFmtId="171" fontId="16" fillId="0" borderId="8" xfId="0" applyNumberFormat="1" applyFont="1" applyBorder="1" applyAlignment="1">
      <alignment horizontal="right"/>
    </xf>
    <xf numFmtId="0" fontId="3" fillId="0" borderId="0" xfId="0" applyFont="1" applyAlignment="1">
      <alignment horizontal="right"/>
    </xf>
    <xf numFmtId="0" fontId="13" fillId="5" borderId="5" xfId="0" applyFont="1" applyFill="1" applyBorder="1"/>
    <xf numFmtId="0" fontId="13" fillId="5" borderId="15" xfId="0" applyFont="1" applyFill="1" applyBorder="1"/>
    <xf numFmtId="0" fontId="13" fillId="5" borderId="29" xfId="0" applyFont="1" applyFill="1" applyBorder="1"/>
    <xf numFmtId="0" fontId="13" fillId="5" borderId="1" xfId="0" applyFont="1" applyFill="1" applyBorder="1" applyAlignment="1">
      <alignment horizontal="center"/>
    </xf>
    <xf numFmtId="0" fontId="13" fillId="5" borderId="13" xfId="0" applyFont="1" applyFill="1" applyBorder="1" applyAlignment="1">
      <alignment horizontal="center"/>
    </xf>
    <xf numFmtId="0" fontId="13" fillId="5" borderId="14" xfId="0" applyFont="1" applyFill="1" applyBorder="1" applyAlignment="1">
      <alignment horizontal="center"/>
    </xf>
    <xf numFmtId="0" fontId="13" fillId="5" borderId="0" xfId="0" applyFont="1" applyFill="1" applyBorder="1" applyAlignment="1">
      <alignment horizontal="center"/>
    </xf>
    <xf numFmtId="0" fontId="13" fillId="5" borderId="8" xfId="0" applyFont="1" applyFill="1" applyBorder="1" applyAlignment="1">
      <alignment horizontal="center"/>
    </xf>
    <xf numFmtId="0" fontId="13" fillId="5" borderId="30" xfId="0" applyFont="1" applyFill="1" applyBorder="1"/>
    <xf numFmtId="0" fontId="13" fillId="5" borderId="2" xfId="0" applyFont="1" applyFill="1" applyBorder="1" applyAlignment="1">
      <alignment horizontal="center"/>
    </xf>
    <xf numFmtId="0" fontId="13" fillId="5" borderId="31" xfId="0" applyFont="1" applyFill="1" applyBorder="1"/>
    <xf numFmtId="0" fontId="13" fillId="5" borderId="3" xfId="0" applyFont="1" applyFill="1" applyBorder="1" applyAlignment="1">
      <alignment horizontal="center"/>
    </xf>
    <xf numFmtId="0" fontId="13" fillId="5" borderId="7" xfId="0" applyFont="1" applyFill="1" applyBorder="1"/>
    <xf numFmtId="0" fontId="13" fillId="5" borderId="9" xfId="0" applyFont="1" applyFill="1" applyBorder="1"/>
    <xf numFmtId="0" fontId="13" fillId="5" borderId="32" xfId="0" applyFont="1" applyFill="1" applyBorder="1"/>
    <xf numFmtId="0" fontId="13" fillId="5" borderId="33" xfId="0" applyFont="1" applyFill="1" applyBorder="1" applyAlignment="1">
      <alignment horizontal="center"/>
    </xf>
    <xf numFmtId="165" fontId="2" fillId="0" borderId="0" xfId="0" applyNumberFormat="1" applyFont="1"/>
    <xf numFmtId="181" fontId="2" fillId="2" borderId="8" xfId="0" applyNumberFormat="1" applyFont="1" applyFill="1" applyBorder="1"/>
    <xf numFmtId="181" fontId="2" fillId="2" borderId="10" xfId="0" applyNumberFormat="1" applyFont="1" applyFill="1" applyBorder="1"/>
    <xf numFmtId="181" fontId="2" fillId="0" borderId="8" xfId="0" applyNumberFormat="1" applyFont="1" applyFill="1" applyBorder="1"/>
    <xf numFmtId="9" fontId="16" fillId="2" borderId="8" xfId="131" applyFont="1" applyFill="1" applyBorder="1" applyAlignment="1">
      <alignment horizontal="right"/>
    </xf>
    <xf numFmtId="37" fontId="0" fillId="0" borderId="0" xfId="0" applyNumberFormat="1"/>
    <xf numFmtId="177" fontId="16" fillId="2" borderId="8" xfId="0" applyNumberFormat="1" applyFont="1" applyFill="1" applyBorder="1" applyAlignment="1">
      <alignment horizontal="right"/>
    </xf>
    <xf numFmtId="173" fontId="67" fillId="0" borderId="0" xfId="6460" applyNumberFormat="1" applyFont="1" applyAlignment="1"/>
    <xf numFmtId="2" fontId="0" fillId="0" borderId="19" xfId="0" applyNumberFormat="1" applyFont="1" applyFill="1" applyBorder="1"/>
    <xf numFmtId="2" fontId="0" fillId="3" borderId="20" xfId="0" applyNumberFormat="1" applyFont="1" applyFill="1" applyBorder="1"/>
    <xf numFmtId="2" fontId="0" fillId="0" borderId="20" xfId="0" applyNumberFormat="1" applyFont="1" applyFill="1" applyBorder="1"/>
    <xf numFmtId="2" fontId="0" fillId="6" borderId="20" xfId="0" applyNumberFormat="1" applyFill="1" applyBorder="1"/>
    <xf numFmtId="2" fontId="0" fillId="2" borderId="20" xfId="0" applyNumberFormat="1" applyFill="1" applyBorder="1"/>
    <xf numFmtId="2" fontId="0" fillId="2" borderId="21" xfId="0" applyNumberFormat="1" applyFill="1" applyBorder="1"/>
    <xf numFmtId="167" fontId="2" fillId="0" borderId="0" xfId="0" applyNumberFormat="1" applyFont="1"/>
    <xf numFmtId="0" fontId="69" fillId="0" borderId="0" xfId="0" applyFont="1"/>
    <xf numFmtId="0" fontId="10" fillId="7" borderId="35" xfId="0" applyNumberFormat="1" applyFont="1" applyFill="1" applyBorder="1"/>
    <xf numFmtId="44" fontId="0" fillId="0" borderId="0" xfId="0" applyNumberFormat="1"/>
    <xf numFmtId="0" fontId="0" fillId="0" borderId="0" xfId="0"/>
    <xf numFmtId="167" fontId="16" fillId="0" borderId="10" xfId="0" applyNumberFormat="1" applyFont="1" applyBorder="1"/>
    <xf numFmtId="167" fontId="16" fillId="0" borderId="8" xfId="0" applyNumberFormat="1" applyFont="1" applyBorder="1"/>
    <xf numFmtId="167" fontId="16" fillId="8" borderId="8" xfId="0" applyNumberFormat="1" applyFont="1" applyFill="1" applyBorder="1"/>
    <xf numFmtId="167" fontId="16" fillId="8" borderId="45" xfId="0" applyNumberFormat="1" applyFont="1" applyFill="1" applyBorder="1"/>
    <xf numFmtId="3" fontId="0" fillId="0" borderId="0" xfId="0" applyNumberFormat="1"/>
    <xf numFmtId="0" fontId="19" fillId="0" borderId="0" xfId="0" applyFont="1"/>
    <xf numFmtId="167" fontId="16" fillId="8" borderId="44" xfId="0" applyNumberFormat="1" applyFont="1" applyFill="1" applyBorder="1"/>
    <xf numFmtId="3" fontId="23" fillId="0" borderId="16" xfId="0" applyNumberFormat="1" applyFont="1" applyFill="1" applyBorder="1" applyProtection="1"/>
    <xf numFmtId="3" fontId="23" fillId="0" borderId="10" xfId="0" applyNumberFormat="1" applyFont="1" applyFill="1" applyBorder="1" applyProtection="1"/>
    <xf numFmtId="17" fontId="10" fillId="7" borderId="42" xfId="0" applyNumberFormat="1" applyFont="1" applyFill="1" applyBorder="1"/>
    <xf numFmtId="17" fontId="10" fillId="7" borderId="12" xfId="0" applyNumberFormat="1" applyFont="1" applyFill="1" applyBorder="1"/>
    <xf numFmtId="167" fontId="16" fillId="0" borderId="16" xfId="0" applyNumberFormat="1" applyFont="1" applyBorder="1"/>
    <xf numFmtId="167" fontId="16" fillId="0" borderId="0" xfId="0" applyNumberFormat="1" applyFont="1" applyBorder="1"/>
    <xf numFmtId="167" fontId="16" fillId="8" borderId="0" xfId="0" applyNumberFormat="1" applyFont="1" applyFill="1" applyBorder="1"/>
    <xf numFmtId="10" fontId="0" fillId="0" borderId="0" xfId="131" applyNumberFormat="1" applyFont="1"/>
    <xf numFmtId="3" fontId="23" fillId="0" borderId="0" xfId="0" applyNumberFormat="1" applyFont="1" applyFill="1" applyBorder="1" applyProtection="1"/>
    <xf numFmtId="182" fontId="16" fillId="0" borderId="8" xfId="157" applyNumberFormat="1" applyFont="1" applyBorder="1" applyAlignment="1" applyProtection="1">
      <alignment horizontal="right"/>
    </xf>
    <xf numFmtId="182" fontId="16" fillId="2" borderId="8" xfId="157" applyNumberFormat="1" applyFont="1" applyFill="1" applyBorder="1" applyAlignment="1" applyProtection="1">
      <alignment horizontal="right"/>
    </xf>
    <xf numFmtId="0" fontId="70" fillId="0" borderId="0" xfId="0" applyFont="1"/>
    <xf numFmtId="0" fontId="16" fillId="0" borderId="44" xfId="0" applyNumberFormat="1" applyFont="1" applyBorder="1" applyAlignment="1" applyProtection="1">
      <alignment horizontal="right"/>
    </xf>
    <xf numFmtId="0" fontId="16" fillId="0" borderId="44" xfId="131" applyNumberFormat="1" applyFont="1" applyBorder="1" applyAlignment="1" applyProtection="1">
      <alignment horizontal="right"/>
    </xf>
    <xf numFmtId="165" fontId="16" fillId="0" borderId="44" xfId="0" applyNumberFormat="1" applyFont="1" applyBorder="1" applyAlignment="1" applyProtection="1">
      <alignment horizontal="right"/>
    </xf>
    <xf numFmtId="182" fontId="16" fillId="0" borderId="45" xfId="157" applyNumberFormat="1" applyFont="1" applyBorder="1" applyAlignment="1" applyProtection="1">
      <alignment horizontal="right"/>
    </xf>
    <xf numFmtId="0" fontId="16" fillId="74" borderId="16" xfId="0" applyNumberFormat="1" applyFont="1" applyFill="1" applyBorder="1" applyAlignment="1" applyProtection="1">
      <alignment horizontal="right"/>
    </xf>
    <xf numFmtId="0" fontId="16" fillId="74" borderId="16" xfId="131" applyNumberFormat="1" applyFont="1" applyFill="1" applyBorder="1" applyAlignment="1" applyProtection="1">
      <alignment horizontal="right"/>
    </xf>
    <xf numFmtId="165" fontId="16" fillId="74" borderId="16" xfId="0" applyNumberFormat="1" applyFont="1" applyFill="1" applyBorder="1" applyAlignment="1" applyProtection="1">
      <alignment horizontal="right"/>
    </xf>
    <xf numFmtId="182" fontId="16" fillId="74" borderId="10" xfId="157" applyNumberFormat="1" applyFont="1" applyFill="1" applyBorder="1" applyAlignment="1" applyProtection="1">
      <alignment horizontal="right"/>
    </xf>
    <xf numFmtId="0" fontId="67" fillId="0" borderId="0" xfId="1275" applyFont="1" applyAlignment="1"/>
    <xf numFmtId="0" fontId="71" fillId="0" borderId="0" xfId="1275" applyFont="1" applyFill="1" applyBorder="1" applyAlignment="1"/>
    <xf numFmtId="0" fontId="8" fillId="0" borderId="0" xfId="1275" applyFont="1" applyAlignment="1"/>
    <xf numFmtId="0" fontId="67" fillId="0" borderId="0" xfId="0" applyFont="1" applyAlignment="1">
      <alignment wrapText="1"/>
    </xf>
    <xf numFmtId="0" fontId="67" fillId="0" borderId="0" xfId="157" applyNumberFormat="1" applyFont="1" applyAlignment="1">
      <alignment horizontal="left"/>
    </xf>
    <xf numFmtId="170" fontId="67" fillId="0" borderId="0" xfId="0" applyNumberFormat="1" applyFont="1" applyAlignment="1">
      <alignment horizontal="left"/>
    </xf>
    <xf numFmtId="182" fontId="16" fillId="0" borderId="0" xfId="157" applyNumberFormat="1" applyFont="1" applyBorder="1" applyAlignment="1" applyProtection="1">
      <alignment horizontal="right"/>
    </xf>
    <xf numFmtId="182" fontId="16" fillId="2" borderId="0" xfId="157" applyNumberFormat="1" applyFont="1" applyFill="1" applyBorder="1" applyAlignment="1" applyProtection="1">
      <alignment horizontal="right"/>
    </xf>
    <xf numFmtId="0" fontId="44" fillId="0" borderId="0" xfId="1275" applyFont="1" applyAlignment="1"/>
    <xf numFmtId="182" fontId="16" fillId="2" borderId="16" xfId="157" applyNumberFormat="1" applyFont="1" applyFill="1" applyBorder="1" applyAlignment="1" applyProtection="1">
      <alignment horizontal="right"/>
    </xf>
    <xf numFmtId="182" fontId="16" fillId="2" borderId="10" xfId="157" applyNumberFormat="1" applyFont="1" applyFill="1" applyBorder="1" applyAlignment="1" applyProtection="1">
      <alignment horizontal="right"/>
    </xf>
    <xf numFmtId="9" fontId="0" fillId="0" borderId="0" xfId="131" applyFont="1"/>
    <xf numFmtId="167" fontId="16" fillId="0" borderId="6" xfId="0" applyNumberFormat="1" applyFont="1" applyBorder="1"/>
    <xf numFmtId="0" fontId="0" fillId="0" borderId="0" xfId="0" applyBorder="1"/>
    <xf numFmtId="0" fontId="0" fillId="0" borderId="0" xfId="0" applyFill="1" applyBorder="1"/>
    <xf numFmtId="0" fontId="0" fillId="0" borderId="5" xfId="0" applyBorder="1"/>
    <xf numFmtId="0" fontId="0" fillId="0" borderId="15" xfId="0" applyBorder="1"/>
    <xf numFmtId="0" fontId="0" fillId="0" borderId="7" xfId="0" applyBorder="1"/>
    <xf numFmtId="167" fontId="10" fillId="7" borderId="12" xfId="157" applyNumberFormat="1" applyFont="1" applyFill="1" applyBorder="1"/>
    <xf numFmtId="165" fontId="0" fillId="0" borderId="0" xfId="0" applyNumberFormat="1" applyAlignment="1">
      <alignment horizontal="right" indent="1"/>
    </xf>
    <xf numFmtId="38" fontId="23" fillId="7" borderId="80" xfId="0" applyNumberFormat="1" applyFont="1" applyFill="1" applyBorder="1"/>
    <xf numFmtId="10" fontId="0" fillId="0" borderId="8" xfId="131" applyNumberFormat="1" applyFont="1" applyBorder="1"/>
    <xf numFmtId="10" fontId="0" fillId="50" borderId="8" xfId="131" applyNumberFormat="1" applyFont="1" applyFill="1" applyBorder="1"/>
    <xf numFmtId="182" fontId="67" fillId="0" borderId="0" xfId="1275" applyNumberFormat="1" applyFont="1" applyAlignment="1"/>
    <xf numFmtId="0" fontId="63" fillId="64" borderId="7" xfId="1237" applyFont="1" applyBorder="1"/>
    <xf numFmtId="9" fontId="63" fillId="64" borderId="8" xfId="1237" applyNumberFormat="1" applyFont="1" applyBorder="1" applyAlignment="1">
      <alignment horizontal="right"/>
    </xf>
    <xf numFmtId="0" fontId="0" fillId="0" borderId="0" xfId="0" applyAlignment="1">
      <alignment vertical="center" wrapText="1"/>
    </xf>
    <xf numFmtId="0" fontId="74" fillId="0" borderId="0" xfId="0" applyFont="1" applyAlignment="1">
      <alignment vertical="center" wrapText="1"/>
    </xf>
    <xf numFmtId="0" fontId="74" fillId="0" borderId="0" xfId="0" applyFont="1" applyAlignment="1">
      <alignment horizontal="right" vertical="center" wrapText="1"/>
    </xf>
    <xf numFmtId="0" fontId="71" fillId="6" borderId="0" xfId="1275" applyFont="1" applyFill="1" applyBorder="1" applyAlignment="1"/>
    <xf numFmtId="0" fontId="10" fillId="6" borderId="13" xfId="0" applyNumberFormat="1" applyFont="1" applyFill="1" applyBorder="1" applyAlignment="1" applyProtection="1">
      <alignment horizontal="center" vertical="center" wrapText="1"/>
    </xf>
    <xf numFmtId="0" fontId="10" fillId="6" borderId="0" xfId="0" applyNumberFormat="1" applyFont="1" applyFill="1" applyBorder="1" applyAlignment="1" applyProtection="1">
      <alignment horizontal="center" vertical="center" wrapText="1"/>
    </xf>
    <xf numFmtId="182" fontId="19" fillId="6" borderId="0" xfId="157" applyNumberFormat="1" applyFont="1" applyFill="1" applyBorder="1" applyAlignment="1" applyProtection="1">
      <alignment horizontal="right"/>
    </xf>
    <xf numFmtId="44" fontId="0" fillId="0" borderId="0" xfId="131" applyNumberFormat="1" applyFont="1"/>
    <xf numFmtId="0" fontId="75" fillId="0" borderId="0" xfId="0" applyFont="1"/>
    <xf numFmtId="38" fontId="16" fillId="8" borderId="15" xfId="0" applyNumberFormat="1" applyFont="1" applyFill="1" applyBorder="1"/>
    <xf numFmtId="38" fontId="16" fillId="0" borderId="0" xfId="0" applyNumberFormat="1" applyFont="1" applyFill="1" applyBorder="1"/>
    <xf numFmtId="38" fontId="16" fillId="8" borderId="0" xfId="0" applyNumberFormat="1" applyFont="1" applyFill="1" applyBorder="1"/>
    <xf numFmtId="38" fontId="16" fillId="0" borderId="0" xfId="0" applyNumberFormat="1" applyFont="1" applyBorder="1"/>
    <xf numFmtId="38" fontId="16" fillId="8" borderId="44" xfId="0" applyNumberFormat="1" applyFont="1" applyFill="1" applyBorder="1"/>
    <xf numFmtId="38" fontId="23" fillId="0" borderId="16" xfId="0" applyNumberFormat="1" applyFont="1" applyBorder="1"/>
    <xf numFmtId="9" fontId="16" fillId="8" borderId="8" xfId="131" applyFont="1" applyFill="1" applyBorder="1"/>
    <xf numFmtId="9" fontId="16" fillId="0" borderId="8" xfId="131" applyFont="1" applyFill="1" applyBorder="1"/>
    <xf numFmtId="9" fontId="16" fillId="0" borderId="8" xfId="131" applyFont="1" applyBorder="1"/>
    <xf numFmtId="9" fontId="16" fillId="8" borderId="45" xfId="131" applyFont="1" applyFill="1" applyBorder="1"/>
    <xf numFmtId="1" fontId="10" fillId="7" borderId="16" xfId="0" applyNumberFormat="1" applyFont="1" applyFill="1" applyBorder="1" applyAlignment="1">
      <alignment horizontal="center"/>
    </xf>
    <xf numFmtId="0" fontId="23" fillId="0" borderId="0" xfId="0" applyFont="1" applyAlignment="1">
      <alignment horizontal="center"/>
    </xf>
    <xf numFmtId="168" fontId="12" fillId="0" borderId="0" xfId="0" applyNumberFormat="1" applyFont="1"/>
    <xf numFmtId="164" fontId="12" fillId="0" borderId="0" xfId="0" applyNumberFormat="1" applyFont="1"/>
    <xf numFmtId="166" fontId="3" fillId="0" borderId="0" xfId="2266" applyNumberFormat="1" applyFont="1"/>
    <xf numFmtId="0" fontId="76" fillId="0" borderId="0" xfId="0" applyFont="1" applyAlignment="1">
      <alignment vertical="center"/>
    </xf>
    <xf numFmtId="0" fontId="77" fillId="0" borderId="0" xfId="0" applyFont="1" applyAlignment="1">
      <alignment vertical="center"/>
    </xf>
    <xf numFmtId="167" fontId="16" fillId="6" borderId="43" xfId="0" applyNumberFormat="1" applyFont="1" applyFill="1" applyBorder="1"/>
    <xf numFmtId="167" fontId="16" fillId="6" borderId="44" xfId="0" applyNumberFormat="1" applyFont="1" applyFill="1" applyBorder="1"/>
    <xf numFmtId="167" fontId="16" fillId="6" borderId="45" xfId="0" applyNumberFormat="1" applyFont="1" applyFill="1" applyBorder="1"/>
    <xf numFmtId="8" fontId="2" fillId="0" borderId="0" xfId="0" applyNumberFormat="1" applyFont="1" applyFill="1" applyBorder="1"/>
    <xf numFmtId="8" fontId="2" fillId="0" borderId="14" xfId="0" applyNumberFormat="1" applyFont="1" applyFill="1" applyBorder="1"/>
    <xf numFmtId="8" fontId="2" fillId="0" borderId="13" xfId="0" applyNumberFormat="1" applyFont="1" applyFill="1" applyBorder="1"/>
    <xf numFmtId="8" fontId="2" fillId="2" borderId="0" xfId="0" applyNumberFormat="1" applyFont="1" applyFill="1" applyBorder="1"/>
    <xf numFmtId="8" fontId="2" fillId="2" borderId="14" xfId="0" applyNumberFormat="1" applyFont="1" applyFill="1" applyBorder="1"/>
    <xf numFmtId="8" fontId="2" fillId="2" borderId="13" xfId="0" applyNumberFormat="1" applyFont="1" applyFill="1" applyBorder="1"/>
    <xf numFmtId="178" fontId="16" fillId="0" borderId="16" xfId="6470" applyNumberFormat="1" applyFont="1" applyBorder="1"/>
    <xf numFmtId="178" fontId="0" fillId="0" borderId="10" xfId="6470" applyNumberFormat="1" applyFont="1" applyBorder="1"/>
    <xf numFmtId="178" fontId="16" fillId="0" borderId="9" xfId="164" applyNumberFormat="1" applyFont="1" applyFill="1" applyBorder="1"/>
    <xf numFmtId="0" fontId="67" fillId="0" borderId="0" xfId="6464" applyFont="1" applyAlignment="1"/>
    <xf numFmtId="0" fontId="67" fillId="0" borderId="0" xfId="6464" applyFont="1" applyAlignment="1">
      <alignment horizontal="right" wrapText="1"/>
    </xf>
    <xf numFmtId="9" fontId="0" fillId="0" borderId="0" xfId="131" applyFont="1" applyBorder="1"/>
    <xf numFmtId="171" fontId="16" fillId="0" borderId="47" xfId="0" applyNumberFormat="1" applyFont="1" applyBorder="1"/>
    <xf numFmtId="9" fontId="23" fillId="9" borderId="10" xfId="131" applyFont="1" applyFill="1" applyBorder="1"/>
    <xf numFmtId="170" fontId="10" fillId="5" borderId="16" xfId="0" applyNumberFormat="1" applyFont="1" applyFill="1" applyBorder="1" applyAlignment="1">
      <alignment horizontal="right"/>
    </xf>
    <xf numFmtId="170" fontId="10" fillId="5" borderId="0" xfId="0" applyNumberFormat="1" applyFont="1" applyFill="1" applyBorder="1" applyAlignment="1">
      <alignment horizontal="right"/>
    </xf>
    <xf numFmtId="167" fontId="10" fillId="0" borderId="0" xfId="0" applyNumberFormat="1" applyFont="1" applyFill="1" applyBorder="1"/>
    <xf numFmtId="0" fontId="16" fillId="0" borderId="0" xfId="0" applyNumberFormat="1" applyFont="1" applyFill="1" applyBorder="1" applyAlignment="1" applyProtection="1">
      <alignment horizontal="right"/>
    </xf>
    <xf numFmtId="0" fontId="16" fillId="0" borderId="0" xfId="131" applyNumberFormat="1" applyFont="1" applyFill="1" applyBorder="1" applyAlignment="1" applyProtection="1">
      <alignment horizontal="right"/>
    </xf>
    <xf numFmtId="165" fontId="16" fillId="0" borderId="0" xfId="0" applyNumberFormat="1" applyFont="1" applyFill="1" applyBorder="1" applyAlignment="1" applyProtection="1">
      <alignment horizontal="right"/>
    </xf>
    <xf numFmtId="166" fontId="16" fillId="0" borderId="8" xfId="131" applyNumberFormat="1" applyFont="1" applyFill="1" applyBorder="1" applyAlignment="1" applyProtection="1">
      <alignment horizontal="right"/>
    </xf>
    <xf numFmtId="1" fontId="16" fillId="2" borderId="18" xfId="0" applyNumberFormat="1" applyFont="1" applyFill="1" applyBorder="1"/>
    <xf numFmtId="166" fontId="16" fillId="2" borderId="38" xfId="131" applyNumberFormat="1" applyFont="1" applyFill="1" applyBorder="1"/>
    <xf numFmtId="1" fontId="16" fillId="2" borderId="21" xfId="0" applyNumberFormat="1" applyFont="1" applyFill="1" applyBorder="1"/>
    <xf numFmtId="3" fontId="80" fillId="0" borderId="0" xfId="0" applyNumberFormat="1" applyFont="1" applyBorder="1" applyAlignment="1">
      <alignment horizontal="right" vertical="center"/>
    </xf>
    <xf numFmtId="0" fontId="0" fillId="0" borderId="0" xfId="0"/>
    <xf numFmtId="0" fontId="10" fillId="10" borderId="58" xfId="0" applyFont="1" applyFill="1" applyBorder="1"/>
    <xf numFmtId="3" fontId="10" fillId="10" borderId="39" xfId="0" applyNumberFormat="1" applyFont="1" applyFill="1" applyBorder="1" applyAlignment="1">
      <alignment horizontal="right" wrapText="1"/>
    </xf>
    <xf numFmtId="0" fontId="10" fillId="10" borderId="35" xfId="0" applyFont="1" applyFill="1" applyBorder="1" applyAlignment="1">
      <alignment horizontal="right" wrapText="1"/>
    </xf>
    <xf numFmtId="0" fontId="10" fillId="10" borderId="12" xfId="0" applyFont="1" applyFill="1" applyBorder="1" applyAlignment="1">
      <alignment horizontal="right" wrapText="1"/>
    </xf>
    <xf numFmtId="9" fontId="16" fillId="6" borderId="0" xfId="1313" applyFont="1" applyFill="1" applyBorder="1"/>
    <xf numFmtId="9" fontId="16" fillId="12" borderId="0" xfId="1313" applyFont="1" applyFill="1" applyBorder="1"/>
    <xf numFmtId="0" fontId="10" fillId="10" borderId="59" xfId="0" applyFont="1" applyFill="1" applyBorder="1"/>
    <xf numFmtId="9" fontId="16" fillId="6" borderId="16" xfId="1313" applyFont="1" applyFill="1" applyBorder="1"/>
    <xf numFmtId="0" fontId="33" fillId="0" borderId="0" xfId="164" applyFill="1"/>
    <xf numFmtId="9" fontId="33" fillId="0" borderId="0" xfId="164" applyNumberFormat="1" applyFill="1"/>
    <xf numFmtId="0" fontId="11" fillId="0" borderId="0" xfId="0" applyFont="1" applyFill="1"/>
    <xf numFmtId="170" fontId="23" fillId="0" borderId="7" xfId="0" applyNumberFormat="1" applyFont="1" applyFill="1" applyBorder="1" applyAlignment="1">
      <alignment horizontal="left"/>
    </xf>
    <xf numFmtId="0" fontId="0" fillId="0" borderId="0" xfId="0" applyFont="1" applyAlignment="1">
      <alignment wrapText="1"/>
    </xf>
    <xf numFmtId="14" fontId="19" fillId="0" borderId="0" xfId="0" applyNumberFormat="1" applyFont="1"/>
    <xf numFmtId="8" fontId="2" fillId="2" borderId="16" xfId="0" applyNumberFormat="1" applyFont="1" applyFill="1" applyBorder="1"/>
    <xf numFmtId="8" fontId="2" fillId="2" borderId="23" xfId="0" applyNumberFormat="1" applyFont="1" applyFill="1" applyBorder="1"/>
    <xf numFmtId="8" fontId="2" fillId="2" borderId="18" xfId="0" applyNumberFormat="1" applyFont="1" applyFill="1" applyBorder="1"/>
    <xf numFmtId="181" fontId="2" fillId="0" borderId="13" xfId="0" applyNumberFormat="1" applyFont="1" applyFill="1" applyBorder="1"/>
    <xf numFmtId="181" fontId="2" fillId="2" borderId="13" xfId="0" applyNumberFormat="1" applyFont="1" applyFill="1" applyBorder="1"/>
    <xf numFmtId="181" fontId="2" fillId="2" borderId="18" xfId="0" applyNumberFormat="1" applyFont="1" applyFill="1" applyBorder="1"/>
    <xf numFmtId="184" fontId="2" fillId="0" borderId="0" xfId="6606" applyNumberFormat="1"/>
    <xf numFmtId="0" fontId="13" fillId="5" borderId="0" xfId="0" applyFont="1" applyFill="1" applyBorder="1"/>
    <xf numFmtId="0" fontId="0" fillId="0" borderId="56" xfId="0" applyBorder="1"/>
    <xf numFmtId="166" fontId="2" fillId="2" borderId="0" xfId="0" applyNumberFormat="1" applyFont="1" applyFill="1" applyBorder="1"/>
    <xf numFmtId="166" fontId="2" fillId="2" borderId="0" xfId="131" applyNumberFormat="1" applyFont="1" applyFill="1" applyBorder="1"/>
    <xf numFmtId="166" fontId="2" fillId="2" borderId="8" xfId="131" applyNumberFormat="1" applyFont="1" applyFill="1" applyBorder="1"/>
    <xf numFmtId="166" fontId="2" fillId="2" borderId="16" xfId="131" applyNumberFormat="1" applyFont="1" applyFill="1" applyBorder="1"/>
    <xf numFmtId="166" fontId="2" fillId="2" borderId="10" xfId="131" applyNumberFormat="1" applyFont="1" applyFill="1" applyBorder="1"/>
    <xf numFmtId="0" fontId="2" fillId="0" borderId="0" xfId="1275" applyBorder="1"/>
    <xf numFmtId="10" fontId="2" fillId="0" borderId="0" xfId="131" applyNumberFormat="1" applyFont="1" applyBorder="1"/>
    <xf numFmtId="164" fontId="0" fillId="0" borderId="19" xfId="0" applyNumberFormat="1" applyFont="1" applyFill="1" applyBorder="1"/>
    <xf numFmtId="164" fontId="0" fillId="3" borderId="20" xfId="0" applyNumberFormat="1" applyFont="1" applyFill="1" applyBorder="1"/>
    <xf numFmtId="164" fontId="0" fillId="0" borderId="20" xfId="0" applyNumberFormat="1" applyFont="1" applyFill="1" applyBorder="1"/>
    <xf numFmtId="164" fontId="0" fillId="6" borderId="20" xfId="0" applyNumberFormat="1" applyFill="1" applyBorder="1"/>
    <xf numFmtId="164" fontId="0" fillId="2" borderId="20" xfId="0" applyNumberFormat="1" applyFill="1" applyBorder="1"/>
    <xf numFmtId="164" fontId="0" fillId="2" borderId="21" xfId="0" applyNumberFormat="1" applyFill="1" applyBorder="1"/>
    <xf numFmtId="6" fontId="0" fillId="0" borderId="0" xfId="6470" applyNumberFormat="1" applyFont="1" applyBorder="1"/>
    <xf numFmtId="6" fontId="0" fillId="8" borderId="0" xfId="6470" applyNumberFormat="1" applyFont="1" applyFill="1" applyBorder="1"/>
    <xf numFmtId="6" fontId="0" fillId="8" borderId="16" xfId="6470" applyNumberFormat="1" applyFont="1" applyFill="1" applyBorder="1"/>
    <xf numFmtId="3" fontId="0" fillId="0" borderId="0" xfId="0" applyNumberFormat="1" applyFill="1"/>
    <xf numFmtId="16" fontId="0" fillId="0" borderId="0" xfId="0" applyNumberFormat="1" applyFill="1"/>
    <xf numFmtId="1" fontId="10" fillId="7" borderId="39" xfId="0" applyNumberFormat="1" applyFont="1" applyFill="1" applyBorder="1"/>
    <xf numFmtId="0" fontId="0" fillId="0" borderId="0" xfId="0"/>
    <xf numFmtId="1" fontId="0" fillId="0" borderId="81" xfId="0" applyNumberFormat="1" applyBorder="1"/>
    <xf numFmtId="3" fontId="23" fillId="8" borderId="82" xfId="0" quotePrefix="1" applyNumberFormat="1" applyFont="1" applyFill="1" applyBorder="1" applyAlignment="1">
      <alignment horizontal="right"/>
    </xf>
    <xf numFmtId="1" fontId="0" fillId="0" borderId="40" xfId="0" applyNumberFormat="1" applyBorder="1"/>
    <xf numFmtId="0" fontId="2" fillId="0" borderId="0" xfId="0" applyFont="1" applyFill="1" applyBorder="1" applyAlignment="1">
      <alignment horizontal="left" wrapText="1"/>
    </xf>
    <xf numFmtId="167" fontId="10" fillId="7" borderId="11" xfId="157" applyNumberFormat="1" applyFont="1" applyFill="1" applyBorder="1"/>
    <xf numFmtId="0" fontId="16" fillId="0" borderId="48" xfId="0" applyFont="1" applyFill="1" applyBorder="1"/>
    <xf numFmtId="0" fontId="0" fillId="0" borderId="7" xfId="0" applyFill="1" applyBorder="1"/>
    <xf numFmtId="1" fontId="0" fillId="0" borderId="40" xfId="0" applyNumberFormat="1" applyFill="1" applyBorder="1"/>
    <xf numFmtId="3" fontId="23" fillId="0" borderId="40" xfId="0" quotePrefix="1" applyNumberFormat="1" applyFont="1" applyFill="1" applyBorder="1" applyAlignment="1">
      <alignment horizontal="right"/>
    </xf>
    <xf numFmtId="0" fontId="16" fillId="0" borderId="83" xfId="0" applyFont="1" applyFill="1" applyBorder="1"/>
    <xf numFmtId="0" fontId="16" fillId="0" borderId="84" xfId="0" applyFont="1" applyFill="1" applyBorder="1"/>
    <xf numFmtId="3" fontId="23" fillId="0" borderId="85" xfId="0" quotePrefix="1" applyNumberFormat="1" applyFont="1" applyFill="1" applyBorder="1" applyAlignment="1">
      <alignment horizontal="right"/>
    </xf>
    <xf numFmtId="0" fontId="3" fillId="0" borderId="0" xfId="0" applyFont="1" applyFill="1" applyBorder="1"/>
    <xf numFmtId="0" fontId="6" fillId="0" borderId="0" xfId="0" applyFont="1" applyFill="1" applyBorder="1"/>
    <xf numFmtId="0" fontId="2" fillId="0" borderId="0" xfId="0" applyFont="1" applyFill="1" applyBorder="1" applyProtection="1"/>
    <xf numFmtId="0" fontId="22" fillId="0" borderId="0" xfId="0" applyFont="1" applyFill="1" applyBorder="1" applyProtection="1"/>
    <xf numFmtId="1" fontId="0" fillId="0" borderId="19" xfId="0" applyNumberFormat="1" applyBorder="1"/>
    <xf numFmtId="3" fontId="23" fillId="8" borderId="86" xfId="0" quotePrefix="1" applyNumberFormat="1" applyFont="1" applyFill="1" applyBorder="1" applyAlignment="1">
      <alignment horizontal="right"/>
    </xf>
    <xf numFmtId="3" fontId="23" fillId="0" borderId="78" xfId="0" quotePrefix="1" applyNumberFormat="1" applyFont="1" applyFill="1" applyBorder="1" applyAlignment="1">
      <alignment horizontal="right"/>
    </xf>
    <xf numFmtId="1" fontId="0" fillId="0" borderId="20" xfId="0" applyNumberFormat="1" applyBorder="1"/>
    <xf numFmtId="1" fontId="0" fillId="0" borderId="20" xfId="0" applyNumberFormat="1" applyFill="1" applyBorder="1"/>
    <xf numFmtId="3" fontId="23" fillId="0" borderId="20" xfId="0" quotePrefix="1" applyNumberFormat="1" applyFont="1" applyFill="1" applyBorder="1" applyAlignment="1">
      <alignment horizontal="right"/>
    </xf>
    <xf numFmtId="0" fontId="16" fillId="0" borderId="81" xfId="0" applyFont="1" applyFill="1" applyBorder="1"/>
    <xf numFmtId="0" fontId="0" fillId="0" borderId="19" xfId="0" applyBorder="1"/>
    <xf numFmtId="0" fontId="16" fillId="0" borderId="85" xfId="0" applyFont="1" applyFill="1" applyBorder="1"/>
    <xf numFmtId="0" fontId="0" fillId="0" borderId="78" xfId="0" applyFill="1" applyBorder="1"/>
    <xf numFmtId="0" fontId="16" fillId="0" borderId="40" xfId="0" applyFont="1" applyFill="1" applyBorder="1"/>
    <xf numFmtId="0" fontId="0" fillId="0" borderId="20" xfId="0" applyBorder="1"/>
    <xf numFmtId="0" fontId="0" fillId="0" borderId="20" xfId="0" applyFill="1" applyBorder="1"/>
    <xf numFmtId="0" fontId="2" fillId="0" borderId="20" xfId="0" applyFont="1" applyFill="1" applyBorder="1"/>
    <xf numFmtId="0" fontId="23" fillId="0" borderId="40" xfId="0" applyFont="1" applyFill="1" applyBorder="1"/>
    <xf numFmtId="0" fontId="3" fillId="0" borderId="20" xfId="0" applyFont="1" applyFill="1" applyBorder="1"/>
    <xf numFmtId="3" fontId="2" fillId="0" borderId="20" xfId="0" applyNumberFormat="1" applyFont="1" applyFill="1" applyBorder="1" applyAlignment="1">
      <alignment horizontal="right"/>
    </xf>
    <xf numFmtId="0" fontId="2" fillId="0" borderId="20" xfId="0" applyFont="1" applyFill="1" applyBorder="1" applyProtection="1"/>
    <xf numFmtId="37" fontId="16" fillId="0" borderId="40" xfId="0" applyNumberFormat="1" applyFont="1" applyFill="1" applyBorder="1" applyProtection="1"/>
    <xf numFmtId="0" fontId="22" fillId="0" borderId="20" xfId="0" applyFont="1" applyFill="1" applyBorder="1"/>
    <xf numFmtId="0" fontId="2" fillId="0" borderId="20" xfId="0" applyFont="1" applyFill="1" applyBorder="1" applyAlignment="1">
      <alignment horizontal="left" wrapText="1"/>
    </xf>
    <xf numFmtId="0" fontId="2" fillId="0" borderId="40" xfId="0" applyFont="1" applyFill="1" applyBorder="1"/>
    <xf numFmtId="0" fontId="0" fillId="0" borderId="40" xfId="0" applyFill="1" applyBorder="1"/>
    <xf numFmtId="0" fontId="2" fillId="0" borderId="40" xfId="0" applyFont="1" applyFill="1" applyBorder="1" applyAlignment="1">
      <alignment horizontal="left" wrapText="1"/>
    </xf>
    <xf numFmtId="0" fontId="73" fillId="0" borderId="7" xfId="0" applyFont="1" applyBorder="1" applyAlignment="1">
      <alignment vertical="center"/>
    </xf>
    <xf numFmtId="0" fontId="84" fillId="0" borderId="7" xfId="0" applyFont="1" applyBorder="1" applyAlignment="1">
      <alignment vertical="center"/>
    </xf>
    <xf numFmtId="174" fontId="19" fillId="7" borderId="42" xfId="0" applyNumberFormat="1" applyFont="1" applyFill="1" applyBorder="1" applyAlignment="1" applyProtection="1">
      <alignment horizontal="left"/>
    </xf>
    <xf numFmtId="0" fontId="84" fillId="0" borderId="83" xfId="0" applyFont="1" applyBorder="1" applyAlignment="1">
      <alignment vertical="center"/>
    </xf>
    <xf numFmtId="0" fontId="73" fillId="0" borderId="29" xfId="0" applyFont="1" applyBorder="1" applyAlignment="1">
      <alignment vertical="center"/>
    </xf>
    <xf numFmtId="0" fontId="73" fillId="0" borderId="87" xfId="0" applyFont="1" applyBorder="1" applyAlignment="1">
      <alignment vertical="center"/>
    </xf>
    <xf numFmtId="9" fontId="0" fillId="0" borderId="0" xfId="131" applyFont="1" applyFill="1" applyBorder="1"/>
    <xf numFmtId="8" fontId="0" fillId="0" borderId="0" xfId="0" applyNumberFormat="1" applyFill="1"/>
    <xf numFmtId="3" fontId="16" fillId="0" borderId="40" xfId="0" quotePrefix="1" applyNumberFormat="1" applyFont="1" applyFill="1" applyBorder="1" applyAlignment="1">
      <alignment horizontal="right"/>
    </xf>
    <xf numFmtId="3" fontId="16" fillId="0" borderId="20" xfId="0" quotePrefix="1" applyNumberFormat="1" applyFont="1" applyFill="1" applyBorder="1" applyAlignment="1">
      <alignment horizontal="right"/>
    </xf>
    <xf numFmtId="1" fontId="0" fillId="0" borderId="40" xfId="0" applyNumberFormat="1" applyFont="1" applyFill="1" applyBorder="1"/>
    <xf numFmtId="0" fontId="85" fillId="0" borderId="0" xfId="0" applyFont="1"/>
    <xf numFmtId="9" fontId="16" fillId="12" borderId="7" xfId="0" applyNumberFormat="1" applyFont="1" applyFill="1" applyBorder="1" applyAlignment="1">
      <alignment horizontal="right"/>
    </xf>
    <xf numFmtId="9" fontId="16" fillId="12" borderId="0" xfId="0" applyNumberFormat="1" applyFont="1" applyFill="1" applyBorder="1" applyAlignment="1">
      <alignment horizontal="right"/>
    </xf>
    <xf numFmtId="9" fontId="16" fillId="12" borderId="8" xfId="0" applyNumberFormat="1" applyFont="1" applyFill="1" applyBorder="1" applyAlignment="1">
      <alignment horizontal="right"/>
    </xf>
    <xf numFmtId="0" fontId="16" fillId="0" borderId="0" xfId="0" applyFont="1" applyAlignment="1">
      <alignment horizontal="left" wrapText="1"/>
    </xf>
    <xf numFmtId="10" fontId="0" fillId="48" borderId="8" xfId="131" applyNumberFormat="1" applyFont="1" applyFill="1" applyBorder="1" applyAlignment="1">
      <alignment horizontal="right"/>
    </xf>
    <xf numFmtId="0" fontId="81" fillId="0" borderId="15" xfId="0" applyFont="1" applyBorder="1" applyAlignment="1">
      <alignment horizontal="left"/>
    </xf>
    <xf numFmtId="0" fontId="47" fillId="56" borderId="0" xfId="1225" applyAlignment="1">
      <alignment horizontal="left" vertical="center" wrapText="1"/>
    </xf>
    <xf numFmtId="0" fontId="67" fillId="5" borderId="5" xfId="1275" applyFont="1" applyFill="1" applyBorder="1" applyAlignment="1">
      <alignment horizontal="center"/>
    </xf>
    <xf numFmtId="0" fontId="67" fillId="5" borderId="15" xfId="1275" applyFont="1" applyFill="1" applyBorder="1" applyAlignment="1">
      <alignment horizontal="center"/>
    </xf>
    <xf numFmtId="0" fontId="67" fillId="5" borderId="6" xfId="1275" applyFont="1" applyFill="1" applyBorder="1" applyAlignment="1">
      <alignment horizontal="center"/>
    </xf>
    <xf numFmtId="0" fontId="67" fillId="0" borderId="9" xfId="1275" applyFont="1" applyBorder="1" applyAlignment="1">
      <alignment horizontal="center"/>
    </xf>
    <xf numFmtId="0" fontId="67" fillId="0" borderId="16" xfId="1275" applyFont="1" applyBorder="1" applyAlignment="1">
      <alignment horizontal="center"/>
    </xf>
    <xf numFmtId="0" fontId="67" fillId="0" borderId="10" xfId="1275" applyFont="1" applyBorder="1" applyAlignment="1">
      <alignment horizontal="center"/>
    </xf>
    <xf numFmtId="1" fontId="23" fillId="0" borderId="0" xfId="0" applyNumberFormat="1" applyFont="1" applyFill="1" applyBorder="1" applyAlignment="1" applyProtection="1">
      <alignment horizontal="center"/>
    </xf>
    <xf numFmtId="1" fontId="10" fillId="10" borderId="17" xfId="0" applyNumberFormat="1" applyFont="1" applyFill="1" applyBorder="1" applyAlignment="1">
      <alignment horizontal="center"/>
    </xf>
    <xf numFmtId="1" fontId="10" fillId="10" borderId="6" xfId="0" applyNumberFormat="1" applyFont="1" applyFill="1" applyBorder="1" applyAlignment="1">
      <alignment horizontal="center"/>
    </xf>
    <xf numFmtId="1" fontId="42" fillId="0" borderId="0" xfId="0" quotePrefix="1" applyNumberFormat="1" applyFont="1" applyFill="1" applyBorder="1" applyAlignment="1" applyProtection="1">
      <alignment horizontal="left" wrapText="1"/>
    </xf>
    <xf numFmtId="0" fontId="42" fillId="0" borderId="0" xfId="0" applyFont="1" applyFill="1" applyBorder="1" applyAlignment="1">
      <alignment horizontal="left" vertical="top" wrapText="1"/>
    </xf>
    <xf numFmtId="0" fontId="16" fillId="0" borderId="0" xfId="0" applyFont="1" applyAlignment="1">
      <alignment horizontal="left" vertical="center" wrapText="1"/>
    </xf>
    <xf numFmtId="1" fontId="10" fillId="10" borderId="5" xfId="0" applyNumberFormat="1" applyFont="1" applyFill="1" applyBorder="1" applyAlignment="1" applyProtection="1">
      <alignment horizontal="center" vertical="center"/>
    </xf>
    <xf numFmtId="1" fontId="10" fillId="10" borderId="7" xfId="0" applyNumberFormat="1" applyFont="1" applyFill="1" applyBorder="1" applyAlignment="1" applyProtection="1">
      <alignment horizontal="center" vertical="center"/>
    </xf>
    <xf numFmtId="175" fontId="10" fillId="10" borderId="5" xfId="0" applyNumberFormat="1" applyFont="1" applyFill="1" applyBorder="1" applyAlignment="1">
      <alignment horizontal="center"/>
    </xf>
    <xf numFmtId="175" fontId="10" fillId="10" borderId="6" xfId="0" applyNumberFormat="1" applyFont="1" applyFill="1" applyBorder="1" applyAlignment="1">
      <alignment horizontal="center"/>
    </xf>
    <xf numFmtId="171" fontId="10" fillId="10" borderId="5" xfId="0" applyNumberFormat="1" applyFont="1" applyFill="1" applyBorder="1" applyAlignment="1">
      <alignment horizontal="center"/>
    </xf>
    <xf numFmtId="171" fontId="10" fillId="10" borderId="6" xfId="0" applyNumberFormat="1" applyFont="1" applyFill="1" applyBorder="1" applyAlignment="1">
      <alignment horizontal="center"/>
    </xf>
    <xf numFmtId="0" fontId="83" fillId="8" borderId="48" xfId="0" applyFont="1" applyFill="1" applyBorder="1" applyAlignment="1">
      <alignment horizontal="right"/>
    </xf>
    <xf numFmtId="0" fontId="83" fillId="8" borderId="49" xfId="0" applyFont="1" applyFill="1" applyBorder="1" applyAlignment="1">
      <alignment horizontal="right"/>
    </xf>
    <xf numFmtId="0" fontId="83" fillId="8" borderId="50" xfId="0" applyFont="1" applyFill="1" applyBorder="1" applyAlignment="1">
      <alignment horizontal="right"/>
    </xf>
    <xf numFmtId="0" fontId="23" fillId="0" borderId="16" xfId="0" applyFont="1" applyBorder="1" applyAlignment="1">
      <alignment horizontal="center" vertical="center"/>
    </xf>
    <xf numFmtId="0" fontId="16" fillId="0" borderId="0" xfId="0" applyFont="1" applyAlignment="1">
      <alignment horizontal="center" wrapText="1"/>
    </xf>
    <xf numFmtId="0" fontId="83" fillId="8" borderId="84" xfId="0" applyFont="1" applyFill="1" applyBorder="1" applyAlignment="1">
      <alignment horizontal="right"/>
    </xf>
    <xf numFmtId="0" fontId="23" fillId="0" borderId="0" xfId="0" applyFont="1" applyBorder="1" applyAlignment="1">
      <alignment horizontal="center" vertical="center"/>
    </xf>
    <xf numFmtId="0" fontId="23" fillId="0" borderId="0" xfId="0" applyFont="1" applyFill="1" applyBorder="1" applyAlignment="1">
      <alignment horizontal="center" wrapText="1"/>
    </xf>
    <xf numFmtId="0" fontId="2" fillId="0" borderId="9" xfId="0" applyFont="1" applyFill="1" applyBorder="1" applyAlignment="1">
      <alignment horizontal="center"/>
    </xf>
    <xf numFmtId="0" fontId="2" fillId="0" borderId="16" xfId="0" applyFont="1" applyFill="1" applyBorder="1" applyAlignment="1">
      <alignment horizontal="center"/>
    </xf>
    <xf numFmtId="0" fontId="2" fillId="0" borderId="10" xfId="0" applyFont="1" applyFill="1" applyBorder="1" applyAlignment="1">
      <alignment horizontal="center"/>
    </xf>
    <xf numFmtId="0" fontId="10" fillId="7" borderId="6"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9" xfId="0" applyFont="1" applyFill="1" applyBorder="1" applyAlignment="1">
      <alignment horizontal="center" vertical="center"/>
    </xf>
    <xf numFmtId="0" fontId="23" fillId="0" borderId="0" xfId="0" applyFont="1" applyAlignment="1">
      <alignment horizontal="center"/>
    </xf>
    <xf numFmtId="0" fontId="23" fillId="0" borderId="16" xfId="0" applyFont="1" applyBorder="1" applyAlignment="1">
      <alignment horizontal="center"/>
    </xf>
    <xf numFmtId="0" fontId="0" fillId="0" borderId="0" xfId="0" applyBorder="1" applyAlignment="1">
      <alignment horizontal="center" vertical="top"/>
    </xf>
  </cellXfs>
  <cellStyles count="6683">
    <cellStyle name="20 % - Accent1" xfId="1220"/>
    <cellStyle name="20 % - Accent2" xfId="1221"/>
    <cellStyle name="20 % - Accent3" xfId="1222"/>
    <cellStyle name="20 % - Accent4" xfId="1223"/>
    <cellStyle name="20 % - Accent5" xfId="1224"/>
    <cellStyle name="20 % - Accent6" xfId="1225"/>
    <cellStyle name="20% - Accent1" xfId="176" builtinId="30" customBuiltin="1"/>
    <cellStyle name="20% - Accent1 10" xfId="6471"/>
    <cellStyle name="20% - Accent1 11" xfId="6472"/>
    <cellStyle name="20% - Accent1 2" xfId="6412"/>
    <cellStyle name="20% - Accent1 2 2" xfId="6473"/>
    <cellStyle name="20% - Accent1 2_Data - Monthly Commodity Prices" xfId="6626"/>
    <cellStyle name="20% - Accent1 3" xfId="6413"/>
    <cellStyle name="20% - Accent1 3 2" xfId="6474"/>
    <cellStyle name="20% - Accent1 3_Data - Monthly Commodity Prices" xfId="6627"/>
    <cellStyle name="20% - Accent1 4" xfId="6414"/>
    <cellStyle name="20% - Accent1 4 2" xfId="6475"/>
    <cellStyle name="20% - Accent1 4_Monthly Price Data" xfId="6476"/>
    <cellStyle name="20% - Accent1 5" xfId="6477"/>
    <cellStyle name="20% - Accent1 6" xfId="6478"/>
    <cellStyle name="20% - Accent1 7" xfId="6479"/>
    <cellStyle name="20% - Accent1 8" xfId="6480"/>
    <cellStyle name="20% - Accent1 9" xfId="6481"/>
    <cellStyle name="20% - Accent2" xfId="180" builtinId="34" customBuiltin="1"/>
    <cellStyle name="20% - Accent2 10" xfId="6482"/>
    <cellStyle name="20% - Accent2 11" xfId="6483"/>
    <cellStyle name="20% - Accent2 2" xfId="6415"/>
    <cellStyle name="20% - Accent2 2 2" xfId="6484"/>
    <cellStyle name="20% - Accent2 2_Data - Monthly Commodity Prices" xfId="6628"/>
    <cellStyle name="20% - Accent2 3" xfId="6416"/>
    <cellStyle name="20% - Accent2 3 2" xfId="6485"/>
    <cellStyle name="20% - Accent2 3_Data - Monthly Commodity Prices" xfId="6629"/>
    <cellStyle name="20% - Accent2 4" xfId="6417"/>
    <cellStyle name="20% - Accent2 4 2" xfId="6486"/>
    <cellStyle name="20% - Accent2 4_Monthly Price Data" xfId="6487"/>
    <cellStyle name="20% - Accent2 5" xfId="6488"/>
    <cellStyle name="20% - Accent2 6" xfId="6489"/>
    <cellStyle name="20% - Accent2 7" xfId="6490"/>
    <cellStyle name="20% - Accent2 8" xfId="6491"/>
    <cellStyle name="20% - Accent2 9" xfId="6492"/>
    <cellStyle name="20% - Accent3" xfId="184" builtinId="38" customBuiltin="1"/>
    <cellStyle name="20% - Accent3 10" xfId="6493"/>
    <cellStyle name="20% - Accent3 11" xfId="6494"/>
    <cellStyle name="20% - Accent3 2" xfId="6418"/>
    <cellStyle name="20% - Accent3 2 2" xfId="6495"/>
    <cellStyle name="20% - Accent3 2_Data - Monthly Commodity Prices" xfId="6630"/>
    <cellStyle name="20% - Accent3 3" xfId="6419"/>
    <cellStyle name="20% - Accent3 3 2" xfId="6496"/>
    <cellStyle name="20% - Accent3 3_Data - Monthly Commodity Prices" xfId="6631"/>
    <cellStyle name="20% - Accent3 4" xfId="6420"/>
    <cellStyle name="20% - Accent3 4 2" xfId="6497"/>
    <cellStyle name="20% - Accent3 4_Monthly Price Data" xfId="6498"/>
    <cellStyle name="20% - Accent3 5" xfId="6499"/>
    <cellStyle name="20% - Accent3 6" xfId="6500"/>
    <cellStyle name="20% - Accent3 7" xfId="6501"/>
    <cellStyle name="20% - Accent3 8" xfId="6502"/>
    <cellStyle name="20% - Accent3 9" xfId="6503"/>
    <cellStyle name="20% - Accent4" xfId="188" builtinId="42" customBuiltin="1"/>
    <cellStyle name="20% - Accent4 10" xfId="6504"/>
    <cellStyle name="20% - Accent4 11" xfId="6505"/>
    <cellStyle name="20% - Accent4 2" xfId="6421"/>
    <cellStyle name="20% - Accent4 2 2" xfId="6506"/>
    <cellStyle name="20% - Accent4 2_Data - Monthly Commodity Prices" xfId="6632"/>
    <cellStyle name="20% - Accent4 3" xfId="6422"/>
    <cellStyle name="20% - Accent4 3 2" xfId="6507"/>
    <cellStyle name="20% - Accent4 3_Data - Monthly Commodity Prices" xfId="6633"/>
    <cellStyle name="20% - Accent4 4" xfId="6423"/>
    <cellStyle name="20% - Accent4 4 2" xfId="6508"/>
    <cellStyle name="20% - Accent4 4_Monthly Price Data" xfId="6509"/>
    <cellStyle name="20% - Accent4 5" xfId="6510"/>
    <cellStyle name="20% - Accent4 6" xfId="6511"/>
    <cellStyle name="20% - Accent4 7" xfId="6512"/>
    <cellStyle name="20% - Accent4 8" xfId="6513"/>
    <cellStyle name="20% - Accent4 9" xfId="6514"/>
    <cellStyle name="20% - Accent5" xfId="192" builtinId="46" customBuiltin="1"/>
    <cellStyle name="20% - Accent5 10" xfId="6515"/>
    <cellStyle name="20% - Accent5 11" xfId="6516"/>
    <cellStyle name="20% - Accent5 2" xfId="6424"/>
    <cellStyle name="20% - Accent5 2 2" xfId="6517"/>
    <cellStyle name="20% - Accent5 2_Data - Monthly Commodity Prices" xfId="6634"/>
    <cellStyle name="20% - Accent5 3" xfId="6425"/>
    <cellStyle name="20% - Accent5 3 2" xfId="6518"/>
    <cellStyle name="20% - Accent5 3_Monthly Price Data" xfId="6519"/>
    <cellStyle name="20% - Accent5 4" xfId="6426"/>
    <cellStyle name="20% - Accent5 4 2" xfId="6520"/>
    <cellStyle name="20% - Accent5 4_Data - Monthly Commodity Prices" xfId="6635"/>
    <cellStyle name="20% - Accent5 5" xfId="6521"/>
    <cellStyle name="20% - Accent5 6" xfId="6522"/>
    <cellStyle name="20% - Accent5 7" xfId="6523"/>
    <cellStyle name="20% - Accent5 8" xfId="6524"/>
    <cellStyle name="20% - Accent5 9" xfId="6525"/>
    <cellStyle name="20% - Accent6" xfId="196" builtinId="50" customBuiltin="1"/>
    <cellStyle name="20% - Accent6 10" xfId="6526"/>
    <cellStyle name="20% - Accent6 11" xfId="6527"/>
    <cellStyle name="20% - Accent6 2" xfId="6427"/>
    <cellStyle name="20% - Accent6 2 2" xfId="6528"/>
    <cellStyle name="20% - Accent6 2_Data - Monthly Commodity Prices" xfId="6636"/>
    <cellStyle name="20% - Accent6 3" xfId="6428"/>
    <cellStyle name="20% - Accent6 3 2" xfId="6529"/>
    <cellStyle name="20% - Accent6 3_Data - Monthly Commodity Prices" xfId="6637"/>
    <cellStyle name="20% - Accent6 4" xfId="6429"/>
    <cellStyle name="20% - Accent6 4 2" xfId="6530"/>
    <cellStyle name="20% - Accent6 4_Monthly Price Data" xfId="6531"/>
    <cellStyle name="20% - Accent6 5" xfId="6532"/>
    <cellStyle name="20% - Accent6 6" xfId="6533"/>
    <cellStyle name="20% - Accent6 7" xfId="6534"/>
    <cellStyle name="20% - Accent6 8" xfId="6535"/>
    <cellStyle name="20% - Accent6 9" xfId="6536"/>
    <cellStyle name="40 % - Accent1" xfId="1226"/>
    <cellStyle name="40 % - Accent2" xfId="1227"/>
    <cellStyle name="40 % - Accent3" xfId="1228"/>
    <cellStyle name="40 % - Accent4" xfId="1229"/>
    <cellStyle name="40 % - Accent5" xfId="1230"/>
    <cellStyle name="40 % - Accent6" xfId="1231"/>
    <cellStyle name="40% - Accent1" xfId="177" builtinId="31" customBuiltin="1"/>
    <cellStyle name="40% - Accent1 10" xfId="6537"/>
    <cellStyle name="40% - Accent1 11" xfId="6538"/>
    <cellStyle name="40% - Accent1 2" xfId="6430"/>
    <cellStyle name="40% - Accent1 2 2" xfId="6539"/>
    <cellStyle name="40% - Accent1 2_Data - Monthly Commodity Prices" xfId="6638"/>
    <cellStyle name="40% - Accent1 3" xfId="6431"/>
    <cellStyle name="40% - Accent1 3 2" xfId="6540"/>
    <cellStyle name="40% - Accent1 3_Data - Monthly Commodity Prices" xfId="6639"/>
    <cellStyle name="40% - Accent1 4" xfId="6432"/>
    <cellStyle name="40% - Accent1 4 2" xfId="6541"/>
    <cellStyle name="40% - Accent1 4_Monthly Price Data" xfId="6542"/>
    <cellStyle name="40% - Accent1 5" xfId="6543"/>
    <cellStyle name="40% - Accent1 6" xfId="6544"/>
    <cellStyle name="40% - Accent1 7" xfId="6545"/>
    <cellStyle name="40% - Accent1 8" xfId="6546"/>
    <cellStyle name="40% - Accent1 9" xfId="6547"/>
    <cellStyle name="40% - Accent2" xfId="181" builtinId="35" customBuiltin="1"/>
    <cellStyle name="40% - Accent2 10" xfId="6548"/>
    <cellStyle name="40% - Accent2 11" xfId="6549"/>
    <cellStyle name="40% - Accent2 2" xfId="6433"/>
    <cellStyle name="40% - Accent2 2 2" xfId="6550"/>
    <cellStyle name="40% - Accent2 2_Data - Monthly Commodity Prices" xfId="6640"/>
    <cellStyle name="40% - Accent2 3" xfId="6434"/>
    <cellStyle name="40% - Accent2 3 2" xfId="6551"/>
    <cellStyle name="40% - Accent2 3_Monthly Price Data" xfId="6552"/>
    <cellStyle name="40% - Accent2 4" xfId="6435"/>
    <cellStyle name="40% - Accent2 4 2" xfId="6553"/>
    <cellStyle name="40% - Accent2 4_Data - Monthly Commodity Prices" xfId="6641"/>
    <cellStyle name="40% - Accent2 5" xfId="6554"/>
    <cellStyle name="40% - Accent2 6" xfId="6555"/>
    <cellStyle name="40% - Accent2 7" xfId="6556"/>
    <cellStyle name="40% - Accent2 8" xfId="6557"/>
    <cellStyle name="40% - Accent2 9" xfId="6558"/>
    <cellStyle name="40% - Accent3" xfId="185" builtinId="39" customBuiltin="1"/>
    <cellStyle name="40% - Accent3 10" xfId="6559"/>
    <cellStyle name="40% - Accent3 11" xfId="6560"/>
    <cellStyle name="40% - Accent3 2" xfId="6436"/>
    <cellStyle name="40% - Accent3 2 2" xfId="6561"/>
    <cellStyle name="40% - Accent3 2_Data - Monthly Commodity Prices" xfId="6642"/>
    <cellStyle name="40% - Accent3 3" xfId="6437"/>
    <cellStyle name="40% - Accent3 3 2" xfId="6562"/>
    <cellStyle name="40% - Accent3 3_Data - Monthly Commodity Prices" xfId="6643"/>
    <cellStyle name="40% - Accent3 4" xfId="6438"/>
    <cellStyle name="40% - Accent3 4 2" xfId="6563"/>
    <cellStyle name="40% - Accent3 4_Monthly Price Data" xfId="6564"/>
    <cellStyle name="40% - Accent3 5" xfId="6565"/>
    <cellStyle name="40% - Accent3 6" xfId="6566"/>
    <cellStyle name="40% - Accent3 7" xfId="6567"/>
    <cellStyle name="40% - Accent3 8" xfId="6568"/>
    <cellStyle name="40% - Accent3 9" xfId="6569"/>
    <cellStyle name="40% - Accent4" xfId="189" builtinId="43" customBuiltin="1"/>
    <cellStyle name="40% - Accent4 10" xfId="6570"/>
    <cellStyle name="40% - Accent4 11" xfId="6571"/>
    <cellStyle name="40% - Accent4 2" xfId="6439"/>
    <cellStyle name="40% - Accent4 2 2" xfId="6572"/>
    <cellStyle name="40% - Accent4 2_Data - Monthly Commodity Prices" xfId="6644"/>
    <cellStyle name="40% - Accent4 3" xfId="6440"/>
    <cellStyle name="40% - Accent4 3 2" xfId="6573"/>
    <cellStyle name="40% - Accent4 3_Data - Monthly Commodity Prices" xfId="6645"/>
    <cellStyle name="40% - Accent4 4" xfId="6441"/>
    <cellStyle name="40% - Accent4 4 2" xfId="6574"/>
    <cellStyle name="40% - Accent4 4_Monthly Price Data" xfId="6575"/>
    <cellStyle name="40% - Accent4 5" xfId="6576"/>
    <cellStyle name="40% - Accent4 6" xfId="6577"/>
    <cellStyle name="40% - Accent4 7" xfId="6578"/>
    <cellStyle name="40% - Accent4 8" xfId="6579"/>
    <cellStyle name="40% - Accent4 9" xfId="6580"/>
    <cellStyle name="40% - Accent5" xfId="193" builtinId="47" customBuiltin="1"/>
    <cellStyle name="40% - Accent5 10" xfId="6581"/>
    <cellStyle name="40% - Accent5 11" xfId="6582"/>
    <cellStyle name="40% - Accent5 2" xfId="6442"/>
    <cellStyle name="40% - Accent5 2 2" xfId="6583"/>
    <cellStyle name="40% - Accent5 2_Data - Monthly Commodity Prices" xfId="6646"/>
    <cellStyle name="40% - Accent5 3" xfId="6443"/>
    <cellStyle name="40% - Accent5 3 2" xfId="6584"/>
    <cellStyle name="40% - Accent5 3_Data - Monthly Commodity Prices" xfId="6647"/>
    <cellStyle name="40% - Accent5 4" xfId="6444"/>
    <cellStyle name="40% - Accent5 4 2" xfId="6585"/>
    <cellStyle name="40% - Accent5 4_Monthly Price Data" xfId="6586"/>
    <cellStyle name="40% - Accent5 5" xfId="6587"/>
    <cellStyle name="40% - Accent5 6" xfId="6588"/>
    <cellStyle name="40% - Accent5 7" xfId="6589"/>
    <cellStyle name="40% - Accent5 8" xfId="6590"/>
    <cellStyle name="40% - Accent5 9" xfId="6591"/>
    <cellStyle name="40% - Accent6" xfId="197" builtinId="51" customBuiltin="1"/>
    <cellStyle name="40% - Accent6 10" xfId="6592"/>
    <cellStyle name="40% - Accent6 11" xfId="6593"/>
    <cellStyle name="40% - Accent6 2" xfId="6445"/>
    <cellStyle name="40% - Accent6 2 2" xfId="6594"/>
    <cellStyle name="40% - Accent6 2_Data - Monthly Commodity Prices" xfId="6648"/>
    <cellStyle name="40% - Accent6 3" xfId="6446"/>
    <cellStyle name="40% - Accent6 3 2" xfId="6595"/>
    <cellStyle name="40% - Accent6 3_Data - Monthly Commodity Prices" xfId="6649"/>
    <cellStyle name="40% - Accent6 4" xfId="6447"/>
    <cellStyle name="40% - Accent6 4 2" xfId="6596"/>
    <cellStyle name="40% - Accent6 4_Monthly Price Data" xfId="6597"/>
    <cellStyle name="40% - Accent6 5" xfId="6598"/>
    <cellStyle name="40% - Accent6 6" xfId="6599"/>
    <cellStyle name="40% - Accent6 7" xfId="6600"/>
    <cellStyle name="40% - Accent6 8" xfId="6601"/>
    <cellStyle name="40% - Accent6 9" xfId="6602"/>
    <cellStyle name="60 % - Accent1" xfId="1232"/>
    <cellStyle name="60 % - Accent2" xfId="1233"/>
    <cellStyle name="60 % - Accent3" xfId="1234"/>
    <cellStyle name="60 % - Accent4" xfId="1235"/>
    <cellStyle name="60 % - Accent5" xfId="1236"/>
    <cellStyle name="60 % - Accent6" xfId="1237"/>
    <cellStyle name="60% - Accent1" xfId="178" builtinId="32" customBuiltin="1"/>
    <cellStyle name="60% - Accent2" xfId="182" builtinId="36" customBuiltin="1"/>
    <cellStyle name="60% - Accent3" xfId="186" builtinId="40" customBuiltin="1"/>
    <cellStyle name="60% - Accent4" xfId="190" builtinId="44" customBuiltin="1"/>
    <cellStyle name="60% - Accent5" xfId="194" builtinId="48" customBuiltin="1"/>
    <cellStyle name="60% - Accent6" xfId="198" builtinId="52" customBuiltin="1"/>
    <cellStyle name="Accent1" xfId="175" builtinId="29" customBuiltin="1"/>
    <cellStyle name="Accent1 2" xfId="1238"/>
    <cellStyle name="Accent2" xfId="179" builtinId="33" customBuiltin="1"/>
    <cellStyle name="Accent2 2" xfId="1239"/>
    <cellStyle name="Accent3" xfId="183" builtinId="37" customBuiltin="1"/>
    <cellStyle name="Accent3 2" xfId="1240"/>
    <cellStyle name="Accent4" xfId="187" builtinId="41" customBuiltin="1"/>
    <cellStyle name="Accent4 2" xfId="1241"/>
    <cellStyle name="Accent5" xfId="191" builtinId="45" customBuiltin="1"/>
    <cellStyle name="Accent5 2" xfId="1242"/>
    <cellStyle name="Accent6" xfId="195" builtinId="49" customBuiltin="1"/>
    <cellStyle name="Accent6 2" xfId="1243"/>
    <cellStyle name="Avertissement" xfId="1244"/>
    <cellStyle name="Bad" xfId="164" builtinId="27" customBuiltin="1"/>
    <cellStyle name="Calcul" xfId="1245"/>
    <cellStyle name="Calculation" xfId="168" builtinId="22" customBuiltin="1"/>
    <cellStyle name="Cellule liée" xfId="1246"/>
    <cellStyle name="Check Cell" xfId="170" builtinId="23" customBuiltin="1"/>
    <cellStyle name="Comma" xfId="157" builtinId="3"/>
    <cellStyle name="Comma 10" xfId="1659"/>
    <cellStyle name="Comma 10 2" xfId="1964"/>
    <cellStyle name="Comma 10 2 2" xfId="2890"/>
    <cellStyle name="Comma 10 2 3" xfId="3754"/>
    <cellStyle name="Comma 10 2 4" xfId="4629"/>
    <cellStyle name="Comma 10 2 5" xfId="5934"/>
    <cellStyle name="Comma 10 3" xfId="2239"/>
    <cellStyle name="Comma 10 3 2" xfId="3145"/>
    <cellStyle name="Comma 10 3 3" xfId="4015"/>
    <cellStyle name="Comma 10 3 4" xfId="4893"/>
    <cellStyle name="Comma 10 3 5" xfId="6202"/>
    <cellStyle name="Comma 10 4" xfId="2640"/>
    <cellStyle name="Comma 10 5" xfId="3503"/>
    <cellStyle name="Comma 10 6" xfId="4371"/>
    <cellStyle name="Comma 10 7" xfId="5667"/>
    <cellStyle name="Comma 11" xfId="1669"/>
    <cellStyle name="Comma 12" xfId="2251"/>
    <cellStyle name="Comma 12 2" xfId="3156"/>
    <cellStyle name="Comma 12 3" xfId="4026"/>
    <cellStyle name="Comma 12 4" xfId="4905"/>
    <cellStyle name="Comma 12 5" xfId="6214"/>
    <cellStyle name="Comma 13" xfId="6407"/>
    <cellStyle name="Comma 14" xfId="1202"/>
    <cellStyle name="Comma 15" xfId="6457"/>
    <cellStyle name="Comma 16" xfId="6678"/>
    <cellStyle name="Comma 17" xfId="6681"/>
    <cellStyle name="Comma 2" xfId="1149"/>
    <cellStyle name="Comma 2 10" xfId="2267"/>
    <cellStyle name="Comma 2 11" xfId="5004"/>
    <cellStyle name="Comma 2 12" xfId="1218"/>
    <cellStyle name="Comma 2 13" xfId="6454"/>
    <cellStyle name="Comma 2 14" xfId="6459"/>
    <cellStyle name="Comma 2 2" xfId="1312"/>
    <cellStyle name="Comma 2 2 2" xfId="1455"/>
    <cellStyle name="Comma 2 2 2 10" xfId="4216"/>
    <cellStyle name="Comma 2 2 2 11" xfId="5007"/>
    <cellStyle name="Comma 2 2 2 12" xfId="5506"/>
    <cellStyle name="Comma 2 2 2 2" xfId="1456"/>
    <cellStyle name="Comma 2 2 2 2 10" xfId="5008"/>
    <cellStyle name="Comma 2 2 2 2 11" xfId="5507"/>
    <cellStyle name="Comma 2 2 2 2 2" xfId="1457"/>
    <cellStyle name="Comma 2 2 2 2 2 10" xfId="5508"/>
    <cellStyle name="Comma 2 2 2 2 2 2" xfId="1458"/>
    <cellStyle name="Comma 2 2 2 2 2 2 2" xfId="1812"/>
    <cellStyle name="Comma 2 2 2 2 2 2 2 2" xfId="2738"/>
    <cellStyle name="Comma 2 2 2 2 2 2 2 3" xfId="3602"/>
    <cellStyle name="Comma 2 2 2 2 2 2 2 4" xfId="4477"/>
    <cellStyle name="Comma 2 2 2 2 2 2 2 5" xfId="5011"/>
    <cellStyle name="Comma 2 2 2 2 2 2 2 6" xfId="5782"/>
    <cellStyle name="Comma 2 2 2 2 2 2 3" xfId="2087"/>
    <cellStyle name="Comma 2 2 2 2 2 2 3 2" xfId="2993"/>
    <cellStyle name="Comma 2 2 2 2 2 2 3 3" xfId="3863"/>
    <cellStyle name="Comma 2 2 2 2 2 2 3 4" xfId="4741"/>
    <cellStyle name="Comma 2 2 2 2 2 2 3 5" xfId="6050"/>
    <cellStyle name="Comma 2 2 2 2 2 2 4" xfId="2488"/>
    <cellStyle name="Comma 2 2 2 2 2 2 5" xfId="3351"/>
    <cellStyle name="Comma 2 2 2 2 2 2 6" xfId="4219"/>
    <cellStyle name="Comma 2 2 2 2 2 2 7" xfId="5010"/>
    <cellStyle name="Comma 2 2 2 2 2 2 8" xfId="5509"/>
    <cellStyle name="Comma 2 2 2 2 2 3" xfId="1811"/>
    <cellStyle name="Comma 2 2 2 2 2 3 2" xfId="2737"/>
    <cellStyle name="Comma 2 2 2 2 2 3 3" xfId="3601"/>
    <cellStyle name="Comma 2 2 2 2 2 3 4" xfId="4476"/>
    <cellStyle name="Comma 2 2 2 2 2 3 5" xfId="5012"/>
    <cellStyle name="Comma 2 2 2 2 2 3 6" xfId="5781"/>
    <cellStyle name="Comma 2 2 2 2 2 4" xfId="2086"/>
    <cellStyle name="Comma 2 2 2 2 2 4 2" xfId="2992"/>
    <cellStyle name="Comma 2 2 2 2 2 4 3" xfId="3862"/>
    <cellStyle name="Comma 2 2 2 2 2 4 4" xfId="4740"/>
    <cellStyle name="Comma 2 2 2 2 2 4 5" xfId="6049"/>
    <cellStyle name="Comma 2 2 2 2 2 5" xfId="2389"/>
    <cellStyle name="Comma 2 2 2 2 2 5 2" xfId="3248"/>
    <cellStyle name="Comma 2 2 2 2 2 5 3" xfId="4114"/>
    <cellStyle name="Comma 2 2 2 2 2 5 4" xfId="4993"/>
    <cellStyle name="Comma 2 2 2 2 2 5 5" xfId="6303"/>
    <cellStyle name="Comma 2 2 2 2 2 6" xfId="2487"/>
    <cellStyle name="Comma 2 2 2 2 2 7" xfId="3350"/>
    <cellStyle name="Comma 2 2 2 2 2 8" xfId="4218"/>
    <cellStyle name="Comma 2 2 2 2 2 9" xfId="5009"/>
    <cellStyle name="Comma 2 2 2 2 3" xfId="1459"/>
    <cellStyle name="Comma 2 2 2 2 3 2" xfId="1813"/>
    <cellStyle name="Comma 2 2 2 2 3 2 2" xfId="2739"/>
    <cellStyle name="Comma 2 2 2 2 3 2 3" xfId="3603"/>
    <cellStyle name="Comma 2 2 2 2 3 2 4" xfId="4478"/>
    <cellStyle name="Comma 2 2 2 2 3 2 5" xfId="5014"/>
    <cellStyle name="Comma 2 2 2 2 3 2 6" xfId="5783"/>
    <cellStyle name="Comma 2 2 2 2 3 3" xfId="2088"/>
    <cellStyle name="Comma 2 2 2 2 3 3 2" xfId="2994"/>
    <cellStyle name="Comma 2 2 2 2 3 3 3" xfId="3864"/>
    <cellStyle name="Comma 2 2 2 2 3 3 4" xfId="4742"/>
    <cellStyle name="Comma 2 2 2 2 3 3 5" xfId="6051"/>
    <cellStyle name="Comma 2 2 2 2 3 4" xfId="2489"/>
    <cellStyle name="Comma 2 2 2 2 3 5" xfId="3352"/>
    <cellStyle name="Comma 2 2 2 2 3 6" xfId="4220"/>
    <cellStyle name="Comma 2 2 2 2 3 7" xfId="5013"/>
    <cellStyle name="Comma 2 2 2 2 3 8" xfId="5510"/>
    <cellStyle name="Comma 2 2 2 2 4" xfId="1810"/>
    <cellStyle name="Comma 2 2 2 2 4 2" xfId="2736"/>
    <cellStyle name="Comma 2 2 2 2 4 3" xfId="3600"/>
    <cellStyle name="Comma 2 2 2 2 4 4" xfId="4475"/>
    <cellStyle name="Comma 2 2 2 2 4 5" xfId="5015"/>
    <cellStyle name="Comma 2 2 2 2 4 6" xfId="5780"/>
    <cellStyle name="Comma 2 2 2 2 5" xfId="2085"/>
    <cellStyle name="Comma 2 2 2 2 5 2" xfId="2991"/>
    <cellStyle name="Comma 2 2 2 2 5 3" xfId="3861"/>
    <cellStyle name="Comma 2 2 2 2 5 4" xfId="4739"/>
    <cellStyle name="Comma 2 2 2 2 5 5" xfId="6048"/>
    <cellStyle name="Comma 2 2 2 2 6" xfId="2345"/>
    <cellStyle name="Comma 2 2 2 2 6 2" xfId="3204"/>
    <cellStyle name="Comma 2 2 2 2 6 3" xfId="4070"/>
    <cellStyle name="Comma 2 2 2 2 6 4" xfId="4949"/>
    <cellStyle name="Comma 2 2 2 2 6 5" xfId="6259"/>
    <cellStyle name="Comma 2 2 2 2 7" xfId="2486"/>
    <cellStyle name="Comma 2 2 2 2 8" xfId="3349"/>
    <cellStyle name="Comma 2 2 2 2 9" xfId="4217"/>
    <cellStyle name="Comma 2 2 2 3" xfId="1460"/>
    <cellStyle name="Comma 2 2 2 3 10" xfId="5511"/>
    <cellStyle name="Comma 2 2 2 3 2" xfId="1461"/>
    <cellStyle name="Comma 2 2 2 3 2 2" xfId="1815"/>
    <cellStyle name="Comma 2 2 2 3 2 2 2" xfId="2741"/>
    <cellStyle name="Comma 2 2 2 3 2 2 3" xfId="3605"/>
    <cellStyle name="Comma 2 2 2 3 2 2 4" xfId="4480"/>
    <cellStyle name="Comma 2 2 2 3 2 2 5" xfId="5018"/>
    <cellStyle name="Comma 2 2 2 3 2 2 6" xfId="5785"/>
    <cellStyle name="Comma 2 2 2 3 2 3" xfId="2090"/>
    <cellStyle name="Comma 2 2 2 3 2 3 2" xfId="2996"/>
    <cellStyle name="Comma 2 2 2 3 2 3 3" xfId="3866"/>
    <cellStyle name="Comma 2 2 2 3 2 3 4" xfId="4744"/>
    <cellStyle name="Comma 2 2 2 3 2 3 5" xfId="6053"/>
    <cellStyle name="Comma 2 2 2 3 2 4" xfId="2491"/>
    <cellStyle name="Comma 2 2 2 3 2 5" xfId="3354"/>
    <cellStyle name="Comma 2 2 2 3 2 6" xfId="4222"/>
    <cellStyle name="Comma 2 2 2 3 2 7" xfId="5017"/>
    <cellStyle name="Comma 2 2 2 3 2 8" xfId="5512"/>
    <cellStyle name="Comma 2 2 2 3 3" xfId="1814"/>
    <cellStyle name="Comma 2 2 2 3 3 2" xfId="2740"/>
    <cellStyle name="Comma 2 2 2 3 3 3" xfId="3604"/>
    <cellStyle name="Comma 2 2 2 3 3 4" xfId="4479"/>
    <cellStyle name="Comma 2 2 2 3 3 5" xfId="5019"/>
    <cellStyle name="Comma 2 2 2 3 3 6" xfId="5784"/>
    <cellStyle name="Comma 2 2 2 3 4" xfId="2089"/>
    <cellStyle name="Comma 2 2 2 3 4 2" xfId="2995"/>
    <cellStyle name="Comma 2 2 2 3 4 3" xfId="3865"/>
    <cellStyle name="Comma 2 2 2 3 4 4" xfId="4743"/>
    <cellStyle name="Comma 2 2 2 3 4 5" xfId="6052"/>
    <cellStyle name="Comma 2 2 2 3 5" xfId="2367"/>
    <cellStyle name="Comma 2 2 2 3 5 2" xfId="3226"/>
    <cellStyle name="Comma 2 2 2 3 5 3" xfId="4092"/>
    <cellStyle name="Comma 2 2 2 3 5 4" xfId="4971"/>
    <cellStyle name="Comma 2 2 2 3 5 5" xfId="6281"/>
    <cellStyle name="Comma 2 2 2 3 6" xfId="2490"/>
    <cellStyle name="Comma 2 2 2 3 7" xfId="3353"/>
    <cellStyle name="Comma 2 2 2 3 8" xfId="4221"/>
    <cellStyle name="Comma 2 2 2 3 9" xfId="5016"/>
    <cellStyle name="Comma 2 2 2 4" xfId="1462"/>
    <cellStyle name="Comma 2 2 2 4 2" xfId="1816"/>
    <cellStyle name="Comma 2 2 2 4 2 2" xfId="2742"/>
    <cellStyle name="Comma 2 2 2 4 2 3" xfId="3606"/>
    <cellStyle name="Comma 2 2 2 4 2 4" xfId="4481"/>
    <cellStyle name="Comma 2 2 2 4 2 5" xfId="5021"/>
    <cellStyle name="Comma 2 2 2 4 2 6" xfId="5786"/>
    <cellStyle name="Comma 2 2 2 4 3" xfId="2091"/>
    <cellStyle name="Comma 2 2 2 4 3 2" xfId="2997"/>
    <cellStyle name="Comma 2 2 2 4 3 3" xfId="3867"/>
    <cellStyle name="Comma 2 2 2 4 3 4" xfId="4745"/>
    <cellStyle name="Comma 2 2 2 4 3 5" xfId="6054"/>
    <cellStyle name="Comma 2 2 2 4 4" xfId="2492"/>
    <cellStyle name="Comma 2 2 2 4 5" xfId="3355"/>
    <cellStyle name="Comma 2 2 2 4 6" xfId="4223"/>
    <cellStyle name="Comma 2 2 2 4 7" xfId="5020"/>
    <cellStyle name="Comma 2 2 2 4 8" xfId="5513"/>
    <cellStyle name="Comma 2 2 2 5" xfId="1809"/>
    <cellStyle name="Comma 2 2 2 5 2" xfId="2735"/>
    <cellStyle name="Comma 2 2 2 5 3" xfId="3599"/>
    <cellStyle name="Comma 2 2 2 5 4" xfId="4474"/>
    <cellStyle name="Comma 2 2 2 5 5" xfId="5022"/>
    <cellStyle name="Comma 2 2 2 5 6" xfId="5779"/>
    <cellStyle name="Comma 2 2 2 6" xfId="2084"/>
    <cellStyle name="Comma 2 2 2 6 2" xfId="2990"/>
    <cellStyle name="Comma 2 2 2 6 3" xfId="3860"/>
    <cellStyle name="Comma 2 2 2 6 4" xfId="4738"/>
    <cellStyle name="Comma 2 2 2 6 5" xfId="6047"/>
    <cellStyle name="Comma 2 2 2 7" xfId="2323"/>
    <cellStyle name="Comma 2 2 2 7 2" xfId="3182"/>
    <cellStyle name="Comma 2 2 2 7 3" xfId="4048"/>
    <cellStyle name="Comma 2 2 2 7 4" xfId="4927"/>
    <cellStyle name="Comma 2 2 2 7 5" xfId="6237"/>
    <cellStyle name="Comma 2 2 2 8" xfId="2485"/>
    <cellStyle name="Comma 2 2 2 9" xfId="3348"/>
    <cellStyle name="Comma 2 2 3" xfId="1463"/>
    <cellStyle name="Comma 2 2 3 10" xfId="5023"/>
    <cellStyle name="Comma 2 2 3 11" xfId="5514"/>
    <cellStyle name="Comma 2 2 3 2" xfId="1464"/>
    <cellStyle name="Comma 2 2 3 2 10" xfId="5515"/>
    <cellStyle name="Comma 2 2 3 2 2" xfId="1465"/>
    <cellStyle name="Comma 2 2 3 2 2 2" xfId="1819"/>
    <cellStyle name="Comma 2 2 3 2 2 2 2" xfId="2745"/>
    <cellStyle name="Comma 2 2 3 2 2 2 3" xfId="3609"/>
    <cellStyle name="Comma 2 2 3 2 2 2 4" xfId="4484"/>
    <cellStyle name="Comma 2 2 3 2 2 2 5" xfId="5026"/>
    <cellStyle name="Comma 2 2 3 2 2 2 6" xfId="5789"/>
    <cellStyle name="Comma 2 2 3 2 2 3" xfId="2094"/>
    <cellStyle name="Comma 2 2 3 2 2 3 2" xfId="3000"/>
    <cellStyle name="Comma 2 2 3 2 2 3 3" xfId="3870"/>
    <cellStyle name="Comma 2 2 3 2 2 3 4" xfId="4748"/>
    <cellStyle name="Comma 2 2 3 2 2 3 5" xfId="6057"/>
    <cellStyle name="Comma 2 2 3 2 2 4" xfId="2495"/>
    <cellStyle name="Comma 2 2 3 2 2 5" xfId="3358"/>
    <cellStyle name="Comma 2 2 3 2 2 6" xfId="4226"/>
    <cellStyle name="Comma 2 2 3 2 2 7" xfId="5025"/>
    <cellStyle name="Comma 2 2 3 2 2 8" xfId="5516"/>
    <cellStyle name="Comma 2 2 3 2 3" xfId="1818"/>
    <cellStyle name="Comma 2 2 3 2 3 2" xfId="2744"/>
    <cellStyle name="Comma 2 2 3 2 3 3" xfId="3608"/>
    <cellStyle name="Comma 2 2 3 2 3 4" xfId="4483"/>
    <cellStyle name="Comma 2 2 3 2 3 5" xfId="5027"/>
    <cellStyle name="Comma 2 2 3 2 3 6" xfId="5788"/>
    <cellStyle name="Comma 2 2 3 2 4" xfId="2093"/>
    <cellStyle name="Comma 2 2 3 2 4 2" xfId="2999"/>
    <cellStyle name="Comma 2 2 3 2 4 3" xfId="3869"/>
    <cellStyle name="Comma 2 2 3 2 4 4" xfId="4747"/>
    <cellStyle name="Comma 2 2 3 2 4 5" xfId="6056"/>
    <cellStyle name="Comma 2 2 3 2 5" xfId="2376"/>
    <cellStyle name="Comma 2 2 3 2 5 2" xfId="3235"/>
    <cellStyle name="Comma 2 2 3 2 5 3" xfId="4101"/>
    <cellStyle name="Comma 2 2 3 2 5 4" xfId="4980"/>
    <cellStyle name="Comma 2 2 3 2 5 5" xfId="6290"/>
    <cellStyle name="Comma 2 2 3 2 6" xfId="2494"/>
    <cellStyle name="Comma 2 2 3 2 7" xfId="3357"/>
    <cellStyle name="Comma 2 2 3 2 8" xfId="4225"/>
    <cellStyle name="Comma 2 2 3 2 9" xfId="5024"/>
    <cellStyle name="Comma 2 2 3 3" xfId="1466"/>
    <cellStyle name="Comma 2 2 3 3 2" xfId="1820"/>
    <cellStyle name="Comma 2 2 3 3 2 2" xfId="2746"/>
    <cellStyle name="Comma 2 2 3 3 2 3" xfId="3610"/>
    <cellStyle name="Comma 2 2 3 3 2 4" xfId="4485"/>
    <cellStyle name="Comma 2 2 3 3 2 5" xfId="5029"/>
    <cellStyle name="Comma 2 2 3 3 2 6" xfId="5790"/>
    <cellStyle name="Comma 2 2 3 3 3" xfId="2095"/>
    <cellStyle name="Comma 2 2 3 3 3 2" xfId="3001"/>
    <cellStyle name="Comma 2 2 3 3 3 3" xfId="3871"/>
    <cellStyle name="Comma 2 2 3 3 3 4" xfId="4749"/>
    <cellStyle name="Comma 2 2 3 3 3 5" xfId="6058"/>
    <cellStyle name="Comma 2 2 3 3 4" xfId="2496"/>
    <cellStyle name="Comma 2 2 3 3 5" xfId="3359"/>
    <cellStyle name="Comma 2 2 3 3 6" xfId="4227"/>
    <cellStyle name="Comma 2 2 3 3 7" xfId="5028"/>
    <cellStyle name="Comma 2 2 3 3 8" xfId="5517"/>
    <cellStyle name="Comma 2 2 3 4" xfId="1817"/>
    <cellStyle name="Comma 2 2 3 4 2" xfId="2743"/>
    <cellStyle name="Comma 2 2 3 4 3" xfId="3607"/>
    <cellStyle name="Comma 2 2 3 4 4" xfId="4482"/>
    <cellStyle name="Comma 2 2 3 4 5" xfId="5030"/>
    <cellStyle name="Comma 2 2 3 4 6" xfId="5787"/>
    <cellStyle name="Comma 2 2 3 5" xfId="2092"/>
    <cellStyle name="Comma 2 2 3 5 2" xfId="2998"/>
    <cellStyle name="Comma 2 2 3 5 3" xfId="3868"/>
    <cellStyle name="Comma 2 2 3 5 4" xfId="4746"/>
    <cellStyle name="Comma 2 2 3 5 5" xfId="6055"/>
    <cellStyle name="Comma 2 2 3 6" xfId="2332"/>
    <cellStyle name="Comma 2 2 3 6 2" xfId="3191"/>
    <cellStyle name="Comma 2 2 3 6 3" xfId="4057"/>
    <cellStyle name="Comma 2 2 3 6 4" xfId="4936"/>
    <cellStyle name="Comma 2 2 3 6 5" xfId="6246"/>
    <cellStyle name="Comma 2 2 3 7" xfId="2493"/>
    <cellStyle name="Comma 2 2 3 8" xfId="3356"/>
    <cellStyle name="Comma 2 2 3 9" xfId="4224"/>
    <cellStyle name="Comma 2 2 4" xfId="1467"/>
    <cellStyle name="Comma 2 2 4 10" xfId="5518"/>
    <cellStyle name="Comma 2 2 4 2" xfId="1468"/>
    <cellStyle name="Comma 2 2 4 2 2" xfId="1822"/>
    <cellStyle name="Comma 2 2 4 2 2 2" xfId="2748"/>
    <cellStyle name="Comma 2 2 4 2 2 3" xfId="3612"/>
    <cellStyle name="Comma 2 2 4 2 2 4" xfId="4487"/>
    <cellStyle name="Comma 2 2 4 2 2 5" xfId="5033"/>
    <cellStyle name="Comma 2 2 4 2 2 6" xfId="5792"/>
    <cellStyle name="Comma 2 2 4 2 3" xfId="2097"/>
    <cellStyle name="Comma 2 2 4 2 3 2" xfId="3003"/>
    <cellStyle name="Comma 2 2 4 2 3 3" xfId="3873"/>
    <cellStyle name="Comma 2 2 4 2 3 4" xfId="4751"/>
    <cellStyle name="Comma 2 2 4 2 3 5" xfId="6060"/>
    <cellStyle name="Comma 2 2 4 2 4" xfId="2498"/>
    <cellStyle name="Comma 2 2 4 2 5" xfId="3361"/>
    <cellStyle name="Comma 2 2 4 2 6" xfId="4229"/>
    <cellStyle name="Comma 2 2 4 2 7" xfId="5032"/>
    <cellStyle name="Comma 2 2 4 2 8" xfId="5519"/>
    <cellStyle name="Comma 2 2 4 3" xfId="1821"/>
    <cellStyle name="Comma 2 2 4 3 2" xfId="2747"/>
    <cellStyle name="Comma 2 2 4 3 3" xfId="3611"/>
    <cellStyle name="Comma 2 2 4 3 4" xfId="4486"/>
    <cellStyle name="Comma 2 2 4 3 5" xfId="5034"/>
    <cellStyle name="Comma 2 2 4 3 6" xfId="5791"/>
    <cellStyle name="Comma 2 2 4 4" xfId="2096"/>
    <cellStyle name="Comma 2 2 4 4 2" xfId="3002"/>
    <cellStyle name="Comma 2 2 4 4 3" xfId="3872"/>
    <cellStyle name="Comma 2 2 4 4 4" xfId="4750"/>
    <cellStyle name="Comma 2 2 4 4 5" xfId="6059"/>
    <cellStyle name="Comma 2 2 4 5" xfId="2354"/>
    <cellStyle name="Comma 2 2 4 5 2" xfId="3213"/>
    <cellStyle name="Comma 2 2 4 5 3" xfId="4079"/>
    <cellStyle name="Comma 2 2 4 5 4" xfId="4958"/>
    <cellStyle name="Comma 2 2 4 5 5" xfId="6268"/>
    <cellStyle name="Comma 2 2 4 6" xfId="2497"/>
    <cellStyle name="Comma 2 2 4 7" xfId="3360"/>
    <cellStyle name="Comma 2 2 4 8" xfId="4228"/>
    <cellStyle name="Comma 2 2 4 9" xfId="5031"/>
    <cellStyle name="Comma 2 2 5" xfId="1469"/>
    <cellStyle name="Comma 2 2 5 2" xfId="1823"/>
    <cellStyle name="Comma 2 2 5 2 2" xfId="2749"/>
    <cellStyle name="Comma 2 2 5 2 3" xfId="3613"/>
    <cellStyle name="Comma 2 2 5 2 4" xfId="4488"/>
    <cellStyle name="Comma 2 2 5 2 5" xfId="5036"/>
    <cellStyle name="Comma 2 2 5 2 6" xfId="5793"/>
    <cellStyle name="Comma 2 2 5 3" xfId="2098"/>
    <cellStyle name="Comma 2 2 5 3 2" xfId="3004"/>
    <cellStyle name="Comma 2 2 5 3 3" xfId="3874"/>
    <cellStyle name="Comma 2 2 5 3 4" xfId="4752"/>
    <cellStyle name="Comma 2 2 5 3 5" xfId="6061"/>
    <cellStyle name="Comma 2 2 5 4" xfId="2499"/>
    <cellStyle name="Comma 2 2 5 5" xfId="3362"/>
    <cellStyle name="Comma 2 2 5 6" xfId="4230"/>
    <cellStyle name="Comma 2 2 5 7" xfId="5035"/>
    <cellStyle name="Comma 2 2 5 8" xfId="5520"/>
    <cellStyle name="Comma 2 2 6" xfId="2303"/>
    <cellStyle name="Comma 2 2 6 2" xfId="3172"/>
    <cellStyle name="Comma 2 2 6 3" xfId="4039"/>
    <cellStyle name="Comma 2 2 6 4" xfId="4918"/>
    <cellStyle name="Comma 2 2 6 5" xfId="5037"/>
    <cellStyle name="Comma 2 2 6 6" xfId="6228"/>
    <cellStyle name="Comma 2 2 7" xfId="5006"/>
    <cellStyle name="Comma 2 3" xfId="1366"/>
    <cellStyle name="Comma 2 3 2" xfId="1737"/>
    <cellStyle name="Comma 2 3 2 2" xfId="2678"/>
    <cellStyle name="Comma 2 3 2 3" xfId="3542"/>
    <cellStyle name="Comma 2 3 2 4" xfId="4414"/>
    <cellStyle name="Comma 2 3 2 5" xfId="5718"/>
    <cellStyle name="Comma 2 3 3" xfId="2027"/>
    <cellStyle name="Comma 2 3 3 2" xfId="2933"/>
    <cellStyle name="Comma 2 3 3 3" xfId="3800"/>
    <cellStyle name="Comma 2 3 3 4" xfId="4678"/>
    <cellStyle name="Comma 2 3 3 5" xfId="5987"/>
    <cellStyle name="Comma 2 3 4" xfId="2305"/>
    <cellStyle name="Comma 2 3 5" xfId="2427"/>
    <cellStyle name="Comma 2 3 6" xfId="3286"/>
    <cellStyle name="Comma 2 3 7" xfId="4154"/>
    <cellStyle name="Comma 2 3 8" xfId="5439"/>
    <cellStyle name="Comma 2 3_Monthly Price Data" xfId="2314"/>
    <cellStyle name="Comma 2 4" xfId="1470"/>
    <cellStyle name="Comma 2 4 10" xfId="3363"/>
    <cellStyle name="Comma 2 4 11" xfId="4231"/>
    <cellStyle name="Comma 2 4 12" xfId="5038"/>
    <cellStyle name="Comma 2 4 13" xfId="5521"/>
    <cellStyle name="Comma 2 4 2" xfId="1471"/>
    <cellStyle name="Comma 2 4 2 10" xfId="4232"/>
    <cellStyle name="Comma 2 4 2 11" xfId="5039"/>
    <cellStyle name="Comma 2 4 2 12" xfId="5522"/>
    <cellStyle name="Comma 2 4 2 2" xfId="1472"/>
    <cellStyle name="Comma 2 4 2 2 10" xfId="5040"/>
    <cellStyle name="Comma 2 4 2 2 11" xfId="5523"/>
    <cellStyle name="Comma 2 4 2 2 2" xfId="1473"/>
    <cellStyle name="Comma 2 4 2 2 2 10" xfId="5524"/>
    <cellStyle name="Comma 2 4 2 2 2 2" xfId="1474"/>
    <cellStyle name="Comma 2 4 2 2 2 2 2" xfId="1828"/>
    <cellStyle name="Comma 2 4 2 2 2 2 2 2" xfId="2754"/>
    <cellStyle name="Comma 2 4 2 2 2 2 2 3" xfId="3618"/>
    <cellStyle name="Comma 2 4 2 2 2 2 2 4" xfId="4493"/>
    <cellStyle name="Comma 2 4 2 2 2 2 2 5" xfId="5043"/>
    <cellStyle name="Comma 2 4 2 2 2 2 2 6" xfId="5798"/>
    <cellStyle name="Comma 2 4 2 2 2 2 3" xfId="2103"/>
    <cellStyle name="Comma 2 4 2 2 2 2 3 2" xfId="3009"/>
    <cellStyle name="Comma 2 4 2 2 2 2 3 3" xfId="3879"/>
    <cellStyle name="Comma 2 4 2 2 2 2 3 4" xfId="4757"/>
    <cellStyle name="Comma 2 4 2 2 2 2 3 5" xfId="6066"/>
    <cellStyle name="Comma 2 4 2 2 2 2 4" xfId="2504"/>
    <cellStyle name="Comma 2 4 2 2 2 2 5" xfId="3367"/>
    <cellStyle name="Comma 2 4 2 2 2 2 6" xfId="4235"/>
    <cellStyle name="Comma 2 4 2 2 2 2 7" xfId="5042"/>
    <cellStyle name="Comma 2 4 2 2 2 2 8" xfId="5525"/>
    <cellStyle name="Comma 2 4 2 2 2 3" xfId="1827"/>
    <cellStyle name="Comma 2 4 2 2 2 3 2" xfId="2753"/>
    <cellStyle name="Comma 2 4 2 2 2 3 3" xfId="3617"/>
    <cellStyle name="Comma 2 4 2 2 2 3 4" xfId="4492"/>
    <cellStyle name="Comma 2 4 2 2 2 3 5" xfId="5044"/>
    <cellStyle name="Comma 2 4 2 2 2 3 6" xfId="5797"/>
    <cellStyle name="Comma 2 4 2 2 2 4" xfId="2102"/>
    <cellStyle name="Comma 2 4 2 2 2 4 2" xfId="3008"/>
    <cellStyle name="Comma 2 4 2 2 2 4 3" xfId="3878"/>
    <cellStyle name="Comma 2 4 2 2 2 4 4" xfId="4756"/>
    <cellStyle name="Comma 2 4 2 2 2 4 5" xfId="6065"/>
    <cellStyle name="Comma 2 4 2 2 2 5" xfId="2393"/>
    <cellStyle name="Comma 2 4 2 2 2 5 2" xfId="3252"/>
    <cellStyle name="Comma 2 4 2 2 2 5 3" xfId="4118"/>
    <cellStyle name="Comma 2 4 2 2 2 5 4" xfId="4997"/>
    <cellStyle name="Comma 2 4 2 2 2 5 5" xfId="6307"/>
    <cellStyle name="Comma 2 4 2 2 2 6" xfId="2503"/>
    <cellStyle name="Comma 2 4 2 2 2 7" xfId="3366"/>
    <cellStyle name="Comma 2 4 2 2 2 8" xfId="4234"/>
    <cellStyle name="Comma 2 4 2 2 2 9" xfId="5041"/>
    <cellStyle name="Comma 2 4 2 2 3" xfId="1475"/>
    <cellStyle name="Comma 2 4 2 2 3 2" xfId="1829"/>
    <cellStyle name="Comma 2 4 2 2 3 2 2" xfId="2755"/>
    <cellStyle name="Comma 2 4 2 2 3 2 3" xfId="3619"/>
    <cellStyle name="Comma 2 4 2 2 3 2 4" xfId="4494"/>
    <cellStyle name="Comma 2 4 2 2 3 2 5" xfId="5046"/>
    <cellStyle name="Comma 2 4 2 2 3 2 6" xfId="5799"/>
    <cellStyle name="Comma 2 4 2 2 3 3" xfId="2104"/>
    <cellStyle name="Comma 2 4 2 2 3 3 2" xfId="3010"/>
    <cellStyle name="Comma 2 4 2 2 3 3 3" xfId="3880"/>
    <cellStyle name="Comma 2 4 2 2 3 3 4" xfId="4758"/>
    <cellStyle name="Comma 2 4 2 2 3 3 5" xfId="6067"/>
    <cellStyle name="Comma 2 4 2 2 3 4" xfId="2505"/>
    <cellStyle name="Comma 2 4 2 2 3 5" xfId="3368"/>
    <cellStyle name="Comma 2 4 2 2 3 6" xfId="4236"/>
    <cellStyle name="Comma 2 4 2 2 3 7" xfId="5045"/>
    <cellStyle name="Comma 2 4 2 2 3 8" xfId="5526"/>
    <cellStyle name="Comma 2 4 2 2 4" xfId="1826"/>
    <cellStyle name="Comma 2 4 2 2 4 2" xfId="2752"/>
    <cellStyle name="Comma 2 4 2 2 4 3" xfId="3616"/>
    <cellStyle name="Comma 2 4 2 2 4 4" xfId="4491"/>
    <cellStyle name="Comma 2 4 2 2 4 5" xfId="5047"/>
    <cellStyle name="Comma 2 4 2 2 4 6" xfId="5796"/>
    <cellStyle name="Comma 2 4 2 2 5" xfId="2101"/>
    <cellStyle name="Comma 2 4 2 2 5 2" xfId="3007"/>
    <cellStyle name="Comma 2 4 2 2 5 3" xfId="3877"/>
    <cellStyle name="Comma 2 4 2 2 5 4" xfId="4755"/>
    <cellStyle name="Comma 2 4 2 2 5 5" xfId="6064"/>
    <cellStyle name="Comma 2 4 2 2 6" xfId="2349"/>
    <cellStyle name="Comma 2 4 2 2 6 2" xfId="3208"/>
    <cellStyle name="Comma 2 4 2 2 6 3" xfId="4074"/>
    <cellStyle name="Comma 2 4 2 2 6 4" xfId="4953"/>
    <cellStyle name="Comma 2 4 2 2 6 5" xfId="6263"/>
    <cellStyle name="Comma 2 4 2 2 7" xfId="2502"/>
    <cellStyle name="Comma 2 4 2 2 8" xfId="3365"/>
    <cellStyle name="Comma 2 4 2 2 9" xfId="4233"/>
    <cellStyle name="Comma 2 4 2 3" xfId="1476"/>
    <cellStyle name="Comma 2 4 2 3 10" xfId="5527"/>
    <cellStyle name="Comma 2 4 2 3 2" xfId="1477"/>
    <cellStyle name="Comma 2 4 2 3 2 2" xfId="1831"/>
    <cellStyle name="Comma 2 4 2 3 2 2 2" xfId="2757"/>
    <cellStyle name="Comma 2 4 2 3 2 2 3" xfId="3621"/>
    <cellStyle name="Comma 2 4 2 3 2 2 4" xfId="4496"/>
    <cellStyle name="Comma 2 4 2 3 2 2 5" xfId="5050"/>
    <cellStyle name="Comma 2 4 2 3 2 2 6" xfId="5801"/>
    <cellStyle name="Comma 2 4 2 3 2 3" xfId="2106"/>
    <cellStyle name="Comma 2 4 2 3 2 3 2" xfId="3012"/>
    <cellStyle name="Comma 2 4 2 3 2 3 3" xfId="3882"/>
    <cellStyle name="Comma 2 4 2 3 2 3 4" xfId="4760"/>
    <cellStyle name="Comma 2 4 2 3 2 3 5" xfId="6069"/>
    <cellStyle name="Comma 2 4 2 3 2 4" xfId="2507"/>
    <cellStyle name="Comma 2 4 2 3 2 5" xfId="3370"/>
    <cellStyle name="Comma 2 4 2 3 2 6" xfId="4238"/>
    <cellStyle name="Comma 2 4 2 3 2 7" xfId="5049"/>
    <cellStyle name="Comma 2 4 2 3 2 8" xfId="5528"/>
    <cellStyle name="Comma 2 4 2 3 3" xfId="1830"/>
    <cellStyle name="Comma 2 4 2 3 3 2" xfId="2756"/>
    <cellStyle name="Comma 2 4 2 3 3 3" xfId="3620"/>
    <cellStyle name="Comma 2 4 2 3 3 4" xfId="4495"/>
    <cellStyle name="Comma 2 4 2 3 3 5" xfId="5051"/>
    <cellStyle name="Comma 2 4 2 3 3 6" xfId="5800"/>
    <cellStyle name="Comma 2 4 2 3 4" xfId="2105"/>
    <cellStyle name="Comma 2 4 2 3 4 2" xfId="3011"/>
    <cellStyle name="Comma 2 4 2 3 4 3" xfId="3881"/>
    <cellStyle name="Comma 2 4 2 3 4 4" xfId="4759"/>
    <cellStyle name="Comma 2 4 2 3 4 5" xfId="6068"/>
    <cellStyle name="Comma 2 4 2 3 5" xfId="2371"/>
    <cellStyle name="Comma 2 4 2 3 5 2" xfId="3230"/>
    <cellStyle name="Comma 2 4 2 3 5 3" xfId="4096"/>
    <cellStyle name="Comma 2 4 2 3 5 4" xfId="4975"/>
    <cellStyle name="Comma 2 4 2 3 5 5" xfId="6285"/>
    <cellStyle name="Comma 2 4 2 3 6" xfId="2506"/>
    <cellStyle name="Comma 2 4 2 3 7" xfId="3369"/>
    <cellStyle name="Comma 2 4 2 3 8" xfId="4237"/>
    <cellStyle name="Comma 2 4 2 3 9" xfId="5048"/>
    <cellStyle name="Comma 2 4 2 4" xfId="1478"/>
    <cellStyle name="Comma 2 4 2 4 2" xfId="1832"/>
    <cellStyle name="Comma 2 4 2 4 2 2" xfId="2758"/>
    <cellStyle name="Comma 2 4 2 4 2 3" xfId="3622"/>
    <cellStyle name="Comma 2 4 2 4 2 4" xfId="4497"/>
    <cellStyle name="Comma 2 4 2 4 2 5" xfId="5053"/>
    <cellStyle name="Comma 2 4 2 4 2 6" xfId="5802"/>
    <cellStyle name="Comma 2 4 2 4 3" xfId="2107"/>
    <cellStyle name="Comma 2 4 2 4 3 2" xfId="3013"/>
    <cellStyle name="Comma 2 4 2 4 3 3" xfId="3883"/>
    <cellStyle name="Comma 2 4 2 4 3 4" xfId="4761"/>
    <cellStyle name="Comma 2 4 2 4 3 5" xfId="6070"/>
    <cellStyle name="Comma 2 4 2 4 4" xfId="2508"/>
    <cellStyle name="Comma 2 4 2 4 5" xfId="3371"/>
    <cellStyle name="Comma 2 4 2 4 6" xfId="4239"/>
    <cellStyle name="Comma 2 4 2 4 7" xfId="5052"/>
    <cellStyle name="Comma 2 4 2 4 8" xfId="5529"/>
    <cellStyle name="Comma 2 4 2 5" xfId="1825"/>
    <cellStyle name="Comma 2 4 2 5 2" xfId="2751"/>
    <cellStyle name="Comma 2 4 2 5 3" xfId="3615"/>
    <cellStyle name="Comma 2 4 2 5 4" xfId="4490"/>
    <cellStyle name="Comma 2 4 2 5 5" xfId="5054"/>
    <cellStyle name="Comma 2 4 2 5 6" xfId="5795"/>
    <cellStyle name="Comma 2 4 2 6" xfId="2100"/>
    <cellStyle name="Comma 2 4 2 6 2" xfId="3006"/>
    <cellStyle name="Comma 2 4 2 6 3" xfId="3876"/>
    <cellStyle name="Comma 2 4 2 6 4" xfId="4754"/>
    <cellStyle name="Comma 2 4 2 6 5" xfId="6063"/>
    <cellStyle name="Comma 2 4 2 7" xfId="2327"/>
    <cellStyle name="Comma 2 4 2 7 2" xfId="3186"/>
    <cellStyle name="Comma 2 4 2 7 3" xfId="4052"/>
    <cellStyle name="Comma 2 4 2 7 4" xfId="4931"/>
    <cellStyle name="Comma 2 4 2 7 5" xfId="6241"/>
    <cellStyle name="Comma 2 4 2 8" xfId="2501"/>
    <cellStyle name="Comma 2 4 2 9" xfId="3364"/>
    <cellStyle name="Comma 2 4 3" xfId="1479"/>
    <cellStyle name="Comma 2 4 3 10" xfId="5055"/>
    <cellStyle name="Comma 2 4 3 11" xfId="5530"/>
    <cellStyle name="Comma 2 4 3 2" xfId="1480"/>
    <cellStyle name="Comma 2 4 3 2 10" xfId="5531"/>
    <cellStyle name="Comma 2 4 3 2 2" xfId="1481"/>
    <cellStyle name="Comma 2 4 3 2 2 2" xfId="1835"/>
    <cellStyle name="Comma 2 4 3 2 2 2 2" xfId="2761"/>
    <cellStyle name="Comma 2 4 3 2 2 2 3" xfId="3625"/>
    <cellStyle name="Comma 2 4 3 2 2 2 4" xfId="4500"/>
    <cellStyle name="Comma 2 4 3 2 2 2 5" xfId="5058"/>
    <cellStyle name="Comma 2 4 3 2 2 2 6" xfId="5805"/>
    <cellStyle name="Comma 2 4 3 2 2 3" xfId="2110"/>
    <cellStyle name="Comma 2 4 3 2 2 3 2" xfId="3016"/>
    <cellStyle name="Comma 2 4 3 2 2 3 3" xfId="3886"/>
    <cellStyle name="Comma 2 4 3 2 2 3 4" xfId="4764"/>
    <cellStyle name="Comma 2 4 3 2 2 3 5" xfId="6073"/>
    <cellStyle name="Comma 2 4 3 2 2 4" xfId="2511"/>
    <cellStyle name="Comma 2 4 3 2 2 5" xfId="3374"/>
    <cellStyle name="Comma 2 4 3 2 2 6" xfId="4242"/>
    <cellStyle name="Comma 2 4 3 2 2 7" xfId="5057"/>
    <cellStyle name="Comma 2 4 3 2 2 8" xfId="5532"/>
    <cellStyle name="Comma 2 4 3 2 3" xfId="1834"/>
    <cellStyle name="Comma 2 4 3 2 3 2" xfId="2760"/>
    <cellStyle name="Comma 2 4 3 2 3 3" xfId="3624"/>
    <cellStyle name="Comma 2 4 3 2 3 4" xfId="4499"/>
    <cellStyle name="Comma 2 4 3 2 3 5" xfId="5059"/>
    <cellStyle name="Comma 2 4 3 2 3 6" xfId="5804"/>
    <cellStyle name="Comma 2 4 3 2 4" xfId="2109"/>
    <cellStyle name="Comma 2 4 3 2 4 2" xfId="3015"/>
    <cellStyle name="Comma 2 4 3 2 4 3" xfId="3885"/>
    <cellStyle name="Comma 2 4 3 2 4 4" xfId="4763"/>
    <cellStyle name="Comma 2 4 3 2 4 5" xfId="6072"/>
    <cellStyle name="Comma 2 4 3 2 5" xfId="2380"/>
    <cellStyle name="Comma 2 4 3 2 5 2" xfId="3239"/>
    <cellStyle name="Comma 2 4 3 2 5 3" xfId="4105"/>
    <cellStyle name="Comma 2 4 3 2 5 4" xfId="4984"/>
    <cellStyle name="Comma 2 4 3 2 5 5" xfId="6294"/>
    <cellStyle name="Comma 2 4 3 2 6" xfId="2510"/>
    <cellStyle name="Comma 2 4 3 2 7" xfId="3373"/>
    <cellStyle name="Comma 2 4 3 2 8" xfId="4241"/>
    <cellStyle name="Comma 2 4 3 2 9" xfId="5056"/>
    <cellStyle name="Comma 2 4 3 3" xfId="1482"/>
    <cellStyle name="Comma 2 4 3 3 2" xfId="1836"/>
    <cellStyle name="Comma 2 4 3 3 2 2" xfId="2762"/>
    <cellStyle name="Comma 2 4 3 3 2 3" xfId="3626"/>
    <cellStyle name="Comma 2 4 3 3 2 4" xfId="4501"/>
    <cellStyle name="Comma 2 4 3 3 2 5" xfId="5061"/>
    <cellStyle name="Comma 2 4 3 3 2 6" xfId="5806"/>
    <cellStyle name="Comma 2 4 3 3 3" xfId="2111"/>
    <cellStyle name="Comma 2 4 3 3 3 2" xfId="3017"/>
    <cellStyle name="Comma 2 4 3 3 3 3" xfId="3887"/>
    <cellStyle name="Comma 2 4 3 3 3 4" xfId="4765"/>
    <cellStyle name="Comma 2 4 3 3 3 5" xfId="6074"/>
    <cellStyle name="Comma 2 4 3 3 4" xfId="2512"/>
    <cellStyle name="Comma 2 4 3 3 5" xfId="3375"/>
    <cellStyle name="Comma 2 4 3 3 6" xfId="4243"/>
    <cellStyle name="Comma 2 4 3 3 7" xfId="5060"/>
    <cellStyle name="Comma 2 4 3 3 8" xfId="5533"/>
    <cellStyle name="Comma 2 4 3 4" xfId="1833"/>
    <cellStyle name="Comma 2 4 3 4 2" xfId="2759"/>
    <cellStyle name="Comma 2 4 3 4 3" xfId="3623"/>
    <cellStyle name="Comma 2 4 3 4 4" xfId="4498"/>
    <cellStyle name="Comma 2 4 3 4 5" xfId="5062"/>
    <cellStyle name="Comma 2 4 3 4 6" xfId="5803"/>
    <cellStyle name="Comma 2 4 3 5" xfId="2108"/>
    <cellStyle name="Comma 2 4 3 5 2" xfId="3014"/>
    <cellStyle name="Comma 2 4 3 5 3" xfId="3884"/>
    <cellStyle name="Comma 2 4 3 5 4" xfId="4762"/>
    <cellStyle name="Comma 2 4 3 5 5" xfId="6071"/>
    <cellStyle name="Comma 2 4 3 6" xfId="2336"/>
    <cellStyle name="Comma 2 4 3 6 2" xfId="3195"/>
    <cellStyle name="Comma 2 4 3 6 3" xfId="4061"/>
    <cellStyle name="Comma 2 4 3 6 4" xfId="4940"/>
    <cellStyle name="Comma 2 4 3 6 5" xfId="6250"/>
    <cellStyle name="Comma 2 4 3 7" xfId="2509"/>
    <cellStyle name="Comma 2 4 3 8" xfId="3372"/>
    <cellStyle name="Comma 2 4 3 9" xfId="4240"/>
    <cellStyle name="Comma 2 4 4" xfId="1483"/>
    <cellStyle name="Comma 2 4 4 10" xfId="5534"/>
    <cellStyle name="Comma 2 4 4 2" xfId="1484"/>
    <cellStyle name="Comma 2 4 4 2 2" xfId="1838"/>
    <cellStyle name="Comma 2 4 4 2 2 2" xfId="2764"/>
    <cellStyle name="Comma 2 4 4 2 2 3" xfId="3628"/>
    <cellStyle name="Comma 2 4 4 2 2 4" xfId="4503"/>
    <cellStyle name="Comma 2 4 4 2 2 5" xfId="5065"/>
    <cellStyle name="Comma 2 4 4 2 2 6" xfId="5808"/>
    <cellStyle name="Comma 2 4 4 2 3" xfId="2113"/>
    <cellStyle name="Comma 2 4 4 2 3 2" xfId="3019"/>
    <cellStyle name="Comma 2 4 4 2 3 3" xfId="3889"/>
    <cellStyle name="Comma 2 4 4 2 3 4" xfId="4767"/>
    <cellStyle name="Comma 2 4 4 2 3 5" xfId="6076"/>
    <cellStyle name="Comma 2 4 4 2 4" xfId="2514"/>
    <cellStyle name="Comma 2 4 4 2 5" xfId="3377"/>
    <cellStyle name="Comma 2 4 4 2 6" xfId="4245"/>
    <cellStyle name="Comma 2 4 4 2 7" xfId="5064"/>
    <cellStyle name="Comma 2 4 4 2 8" xfId="5535"/>
    <cellStyle name="Comma 2 4 4 3" xfId="1837"/>
    <cellStyle name="Comma 2 4 4 3 2" xfId="2763"/>
    <cellStyle name="Comma 2 4 4 3 3" xfId="3627"/>
    <cellStyle name="Comma 2 4 4 3 4" xfId="4502"/>
    <cellStyle name="Comma 2 4 4 3 5" xfId="5066"/>
    <cellStyle name="Comma 2 4 4 3 6" xfId="5807"/>
    <cellStyle name="Comma 2 4 4 4" xfId="2112"/>
    <cellStyle name="Comma 2 4 4 4 2" xfId="3018"/>
    <cellStyle name="Comma 2 4 4 4 3" xfId="3888"/>
    <cellStyle name="Comma 2 4 4 4 4" xfId="4766"/>
    <cellStyle name="Comma 2 4 4 4 5" xfId="6075"/>
    <cellStyle name="Comma 2 4 4 5" xfId="2358"/>
    <cellStyle name="Comma 2 4 4 5 2" xfId="3217"/>
    <cellStyle name="Comma 2 4 4 5 3" xfId="4083"/>
    <cellStyle name="Comma 2 4 4 5 4" xfId="4962"/>
    <cellStyle name="Comma 2 4 4 5 5" xfId="6272"/>
    <cellStyle name="Comma 2 4 4 6" xfId="2513"/>
    <cellStyle name="Comma 2 4 4 7" xfId="3376"/>
    <cellStyle name="Comma 2 4 4 8" xfId="4244"/>
    <cellStyle name="Comma 2 4 4 9" xfId="5063"/>
    <cellStyle name="Comma 2 4 5" xfId="1485"/>
    <cellStyle name="Comma 2 4 5 2" xfId="1839"/>
    <cellStyle name="Comma 2 4 5 2 2" xfId="2765"/>
    <cellStyle name="Comma 2 4 5 2 3" xfId="3629"/>
    <cellStyle name="Comma 2 4 5 2 4" xfId="4504"/>
    <cellStyle name="Comma 2 4 5 2 5" xfId="5068"/>
    <cellStyle name="Comma 2 4 5 2 6" xfId="5809"/>
    <cellStyle name="Comma 2 4 5 3" xfId="2114"/>
    <cellStyle name="Comma 2 4 5 3 2" xfId="3020"/>
    <cellStyle name="Comma 2 4 5 3 3" xfId="3890"/>
    <cellStyle name="Comma 2 4 5 3 4" xfId="4768"/>
    <cellStyle name="Comma 2 4 5 3 5" xfId="6077"/>
    <cellStyle name="Comma 2 4 5 4" xfId="2515"/>
    <cellStyle name="Comma 2 4 5 5" xfId="3378"/>
    <cellStyle name="Comma 2 4 5 6" xfId="4246"/>
    <cellStyle name="Comma 2 4 5 7" xfId="5067"/>
    <cellStyle name="Comma 2 4 5 8" xfId="5536"/>
    <cellStyle name="Comma 2 4 6" xfId="1824"/>
    <cellStyle name="Comma 2 4 6 2" xfId="2750"/>
    <cellStyle name="Comma 2 4 6 3" xfId="3614"/>
    <cellStyle name="Comma 2 4 6 4" xfId="4489"/>
    <cellStyle name="Comma 2 4 6 5" xfId="5069"/>
    <cellStyle name="Comma 2 4 6 6" xfId="5794"/>
    <cellStyle name="Comma 2 4 7" xfId="2099"/>
    <cellStyle name="Comma 2 4 7 2" xfId="3005"/>
    <cellStyle name="Comma 2 4 7 3" xfId="3875"/>
    <cellStyle name="Comma 2 4 7 4" xfId="4753"/>
    <cellStyle name="Comma 2 4 7 5" xfId="6062"/>
    <cellStyle name="Comma 2 4 8" xfId="2318"/>
    <cellStyle name="Comma 2 4 8 2" xfId="3177"/>
    <cellStyle name="Comma 2 4 8 3" xfId="4043"/>
    <cellStyle name="Comma 2 4 8 4" xfId="4922"/>
    <cellStyle name="Comma 2 4 8 5" xfId="6232"/>
    <cellStyle name="Comma 2 4 9" xfId="2500"/>
    <cellStyle name="Comma 2 5" xfId="1486"/>
    <cellStyle name="Comma 2 5 10" xfId="3379"/>
    <cellStyle name="Comma 2 5 11" xfId="4247"/>
    <cellStyle name="Comma 2 5 12" xfId="5070"/>
    <cellStyle name="Comma 2 5 13" xfId="5537"/>
    <cellStyle name="Comma 2 5 2" xfId="1487"/>
    <cellStyle name="Comma 2 5 2 10" xfId="4248"/>
    <cellStyle name="Comma 2 5 2 11" xfId="5071"/>
    <cellStyle name="Comma 2 5 2 12" xfId="5538"/>
    <cellStyle name="Comma 2 5 2 2" xfId="1488"/>
    <cellStyle name="Comma 2 5 2 2 10" xfId="5072"/>
    <cellStyle name="Comma 2 5 2 2 11" xfId="5539"/>
    <cellStyle name="Comma 2 5 2 2 2" xfId="1489"/>
    <cellStyle name="Comma 2 5 2 2 2 10" xfId="5540"/>
    <cellStyle name="Comma 2 5 2 2 2 2" xfId="1490"/>
    <cellStyle name="Comma 2 5 2 2 2 2 2" xfId="1844"/>
    <cellStyle name="Comma 2 5 2 2 2 2 2 2" xfId="2770"/>
    <cellStyle name="Comma 2 5 2 2 2 2 2 3" xfId="3634"/>
    <cellStyle name="Comma 2 5 2 2 2 2 2 4" xfId="4509"/>
    <cellStyle name="Comma 2 5 2 2 2 2 2 5" xfId="5075"/>
    <cellStyle name="Comma 2 5 2 2 2 2 2 6" xfId="5814"/>
    <cellStyle name="Comma 2 5 2 2 2 2 3" xfId="2119"/>
    <cellStyle name="Comma 2 5 2 2 2 2 3 2" xfId="3025"/>
    <cellStyle name="Comma 2 5 2 2 2 2 3 3" xfId="3895"/>
    <cellStyle name="Comma 2 5 2 2 2 2 3 4" xfId="4773"/>
    <cellStyle name="Comma 2 5 2 2 2 2 3 5" xfId="6082"/>
    <cellStyle name="Comma 2 5 2 2 2 2 4" xfId="2520"/>
    <cellStyle name="Comma 2 5 2 2 2 2 5" xfId="3383"/>
    <cellStyle name="Comma 2 5 2 2 2 2 6" xfId="4251"/>
    <cellStyle name="Comma 2 5 2 2 2 2 7" xfId="5074"/>
    <cellStyle name="Comma 2 5 2 2 2 2 8" xfId="5541"/>
    <cellStyle name="Comma 2 5 2 2 2 3" xfId="1843"/>
    <cellStyle name="Comma 2 5 2 2 2 3 2" xfId="2769"/>
    <cellStyle name="Comma 2 5 2 2 2 3 3" xfId="3633"/>
    <cellStyle name="Comma 2 5 2 2 2 3 4" xfId="4508"/>
    <cellStyle name="Comma 2 5 2 2 2 3 5" xfId="5076"/>
    <cellStyle name="Comma 2 5 2 2 2 3 6" xfId="5813"/>
    <cellStyle name="Comma 2 5 2 2 2 4" xfId="2118"/>
    <cellStyle name="Comma 2 5 2 2 2 4 2" xfId="3024"/>
    <cellStyle name="Comma 2 5 2 2 2 4 3" xfId="3894"/>
    <cellStyle name="Comma 2 5 2 2 2 4 4" xfId="4772"/>
    <cellStyle name="Comma 2 5 2 2 2 4 5" xfId="6081"/>
    <cellStyle name="Comma 2 5 2 2 2 5" xfId="2395"/>
    <cellStyle name="Comma 2 5 2 2 2 5 2" xfId="3254"/>
    <cellStyle name="Comma 2 5 2 2 2 5 3" xfId="4120"/>
    <cellStyle name="Comma 2 5 2 2 2 5 4" xfId="4999"/>
    <cellStyle name="Comma 2 5 2 2 2 5 5" xfId="6309"/>
    <cellStyle name="Comma 2 5 2 2 2 6" xfId="2519"/>
    <cellStyle name="Comma 2 5 2 2 2 7" xfId="3382"/>
    <cellStyle name="Comma 2 5 2 2 2 8" xfId="4250"/>
    <cellStyle name="Comma 2 5 2 2 2 9" xfId="5073"/>
    <cellStyle name="Comma 2 5 2 2 3" xfId="1491"/>
    <cellStyle name="Comma 2 5 2 2 3 2" xfId="1845"/>
    <cellStyle name="Comma 2 5 2 2 3 2 2" xfId="2771"/>
    <cellStyle name="Comma 2 5 2 2 3 2 3" xfId="3635"/>
    <cellStyle name="Comma 2 5 2 2 3 2 4" xfId="4510"/>
    <cellStyle name="Comma 2 5 2 2 3 2 5" xfId="5078"/>
    <cellStyle name="Comma 2 5 2 2 3 2 6" xfId="5815"/>
    <cellStyle name="Comma 2 5 2 2 3 3" xfId="2120"/>
    <cellStyle name="Comma 2 5 2 2 3 3 2" xfId="3026"/>
    <cellStyle name="Comma 2 5 2 2 3 3 3" xfId="3896"/>
    <cellStyle name="Comma 2 5 2 2 3 3 4" xfId="4774"/>
    <cellStyle name="Comma 2 5 2 2 3 3 5" xfId="6083"/>
    <cellStyle name="Comma 2 5 2 2 3 4" xfId="2521"/>
    <cellStyle name="Comma 2 5 2 2 3 5" xfId="3384"/>
    <cellStyle name="Comma 2 5 2 2 3 6" xfId="4252"/>
    <cellStyle name="Comma 2 5 2 2 3 7" xfId="5077"/>
    <cellStyle name="Comma 2 5 2 2 3 8" xfId="5542"/>
    <cellStyle name="Comma 2 5 2 2 4" xfId="1842"/>
    <cellStyle name="Comma 2 5 2 2 4 2" xfId="2768"/>
    <cellStyle name="Comma 2 5 2 2 4 3" xfId="3632"/>
    <cellStyle name="Comma 2 5 2 2 4 4" xfId="4507"/>
    <cellStyle name="Comma 2 5 2 2 4 5" xfId="5079"/>
    <cellStyle name="Comma 2 5 2 2 4 6" xfId="5812"/>
    <cellStyle name="Comma 2 5 2 2 5" xfId="2117"/>
    <cellStyle name="Comma 2 5 2 2 5 2" xfId="3023"/>
    <cellStyle name="Comma 2 5 2 2 5 3" xfId="3893"/>
    <cellStyle name="Comma 2 5 2 2 5 4" xfId="4771"/>
    <cellStyle name="Comma 2 5 2 2 5 5" xfId="6080"/>
    <cellStyle name="Comma 2 5 2 2 6" xfId="2351"/>
    <cellStyle name="Comma 2 5 2 2 6 2" xfId="3210"/>
    <cellStyle name="Comma 2 5 2 2 6 3" xfId="4076"/>
    <cellStyle name="Comma 2 5 2 2 6 4" xfId="4955"/>
    <cellStyle name="Comma 2 5 2 2 6 5" xfId="6265"/>
    <cellStyle name="Comma 2 5 2 2 7" xfId="2518"/>
    <cellStyle name="Comma 2 5 2 2 8" xfId="3381"/>
    <cellStyle name="Comma 2 5 2 2 9" xfId="4249"/>
    <cellStyle name="Comma 2 5 2 3" xfId="1492"/>
    <cellStyle name="Comma 2 5 2 3 10" xfId="5543"/>
    <cellStyle name="Comma 2 5 2 3 2" xfId="1493"/>
    <cellStyle name="Comma 2 5 2 3 2 2" xfId="1847"/>
    <cellStyle name="Comma 2 5 2 3 2 2 2" xfId="2773"/>
    <cellStyle name="Comma 2 5 2 3 2 2 3" xfId="3637"/>
    <cellStyle name="Comma 2 5 2 3 2 2 4" xfId="4512"/>
    <cellStyle name="Comma 2 5 2 3 2 2 5" xfId="5082"/>
    <cellStyle name="Comma 2 5 2 3 2 2 6" xfId="5817"/>
    <cellStyle name="Comma 2 5 2 3 2 3" xfId="2122"/>
    <cellStyle name="Comma 2 5 2 3 2 3 2" xfId="3028"/>
    <cellStyle name="Comma 2 5 2 3 2 3 3" xfId="3898"/>
    <cellStyle name="Comma 2 5 2 3 2 3 4" xfId="4776"/>
    <cellStyle name="Comma 2 5 2 3 2 3 5" xfId="6085"/>
    <cellStyle name="Comma 2 5 2 3 2 4" xfId="2523"/>
    <cellStyle name="Comma 2 5 2 3 2 5" xfId="3386"/>
    <cellStyle name="Comma 2 5 2 3 2 6" xfId="4254"/>
    <cellStyle name="Comma 2 5 2 3 2 7" xfId="5081"/>
    <cellStyle name="Comma 2 5 2 3 2 8" xfId="5544"/>
    <cellStyle name="Comma 2 5 2 3 3" xfId="1846"/>
    <cellStyle name="Comma 2 5 2 3 3 2" xfId="2772"/>
    <cellStyle name="Comma 2 5 2 3 3 3" xfId="3636"/>
    <cellStyle name="Comma 2 5 2 3 3 4" xfId="4511"/>
    <cellStyle name="Comma 2 5 2 3 3 5" xfId="5083"/>
    <cellStyle name="Comma 2 5 2 3 3 6" xfId="5816"/>
    <cellStyle name="Comma 2 5 2 3 4" xfId="2121"/>
    <cellStyle name="Comma 2 5 2 3 4 2" xfId="3027"/>
    <cellStyle name="Comma 2 5 2 3 4 3" xfId="3897"/>
    <cellStyle name="Comma 2 5 2 3 4 4" xfId="4775"/>
    <cellStyle name="Comma 2 5 2 3 4 5" xfId="6084"/>
    <cellStyle name="Comma 2 5 2 3 5" xfId="2373"/>
    <cellStyle name="Comma 2 5 2 3 5 2" xfId="3232"/>
    <cellStyle name="Comma 2 5 2 3 5 3" xfId="4098"/>
    <cellStyle name="Comma 2 5 2 3 5 4" xfId="4977"/>
    <cellStyle name="Comma 2 5 2 3 5 5" xfId="6287"/>
    <cellStyle name="Comma 2 5 2 3 6" xfId="2522"/>
    <cellStyle name="Comma 2 5 2 3 7" xfId="3385"/>
    <cellStyle name="Comma 2 5 2 3 8" xfId="4253"/>
    <cellStyle name="Comma 2 5 2 3 9" xfId="5080"/>
    <cellStyle name="Comma 2 5 2 4" xfId="1494"/>
    <cellStyle name="Comma 2 5 2 4 2" xfId="1848"/>
    <cellStyle name="Comma 2 5 2 4 2 2" xfId="2774"/>
    <cellStyle name="Comma 2 5 2 4 2 3" xfId="3638"/>
    <cellStyle name="Comma 2 5 2 4 2 4" xfId="4513"/>
    <cellStyle name="Comma 2 5 2 4 2 5" xfId="5085"/>
    <cellStyle name="Comma 2 5 2 4 2 6" xfId="5818"/>
    <cellStyle name="Comma 2 5 2 4 3" xfId="2123"/>
    <cellStyle name="Comma 2 5 2 4 3 2" xfId="3029"/>
    <cellStyle name="Comma 2 5 2 4 3 3" xfId="3899"/>
    <cellStyle name="Comma 2 5 2 4 3 4" xfId="4777"/>
    <cellStyle name="Comma 2 5 2 4 3 5" xfId="6086"/>
    <cellStyle name="Comma 2 5 2 4 4" xfId="2524"/>
    <cellStyle name="Comma 2 5 2 4 5" xfId="3387"/>
    <cellStyle name="Comma 2 5 2 4 6" xfId="4255"/>
    <cellStyle name="Comma 2 5 2 4 7" xfId="5084"/>
    <cellStyle name="Comma 2 5 2 4 8" xfId="5545"/>
    <cellStyle name="Comma 2 5 2 5" xfId="1841"/>
    <cellStyle name="Comma 2 5 2 5 2" xfId="2767"/>
    <cellStyle name="Comma 2 5 2 5 3" xfId="3631"/>
    <cellStyle name="Comma 2 5 2 5 4" xfId="4506"/>
    <cellStyle name="Comma 2 5 2 5 5" xfId="5086"/>
    <cellStyle name="Comma 2 5 2 5 6" xfId="5811"/>
    <cellStyle name="Comma 2 5 2 6" xfId="2116"/>
    <cellStyle name="Comma 2 5 2 6 2" xfId="3022"/>
    <cellStyle name="Comma 2 5 2 6 3" xfId="3892"/>
    <cellStyle name="Comma 2 5 2 6 4" xfId="4770"/>
    <cellStyle name="Comma 2 5 2 6 5" xfId="6079"/>
    <cellStyle name="Comma 2 5 2 7" xfId="2329"/>
    <cellStyle name="Comma 2 5 2 7 2" xfId="3188"/>
    <cellStyle name="Comma 2 5 2 7 3" xfId="4054"/>
    <cellStyle name="Comma 2 5 2 7 4" xfId="4933"/>
    <cellStyle name="Comma 2 5 2 7 5" xfId="6243"/>
    <cellStyle name="Comma 2 5 2 8" xfId="2517"/>
    <cellStyle name="Comma 2 5 2 9" xfId="3380"/>
    <cellStyle name="Comma 2 5 3" xfId="1495"/>
    <cellStyle name="Comma 2 5 3 10" xfId="5087"/>
    <cellStyle name="Comma 2 5 3 11" xfId="5546"/>
    <cellStyle name="Comma 2 5 3 2" xfId="1496"/>
    <cellStyle name="Comma 2 5 3 2 10" xfId="5547"/>
    <cellStyle name="Comma 2 5 3 2 2" xfId="1497"/>
    <cellStyle name="Comma 2 5 3 2 2 2" xfId="1851"/>
    <cellStyle name="Comma 2 5 3 2 2 2 2" xfId="2777"/>
    <cellStyle name="Comma 2 5 3 2 2 2 3" xfId="3641"/>
    <cellStyle name="Comma 2 5 3 2 2 2 4" xfId="4516"/>
    <cellStyle name="Comma 2 5 3 2 2 2 5" xfId="5090"/>
    <cellStyle name="Comma 2 5 3 2 2 2 6" xfId="5821"/>
    <cellStyle name="Comma 2 5 3 2 2 3" xfId="2126"/>
    <cellStyle name="Comma 2 5 3 2 2 3 2" xfId="3032"/>
    <cellStyle name="Comma 2 5 3 2 2 3 3" xfId="3902"/>
    <cellStyle name="Comma 2 5 3 2 2 3 4" xfId="4780"/>
    <cellStyle name="Comma 2 5 3 2 2 3 5" xfId="6089"/>
    <cellStyle name="Comma 2 5 3 2 2 4" xfId="2527"/>
    <cellStyle name="Comma 2 5 3 2 2 5" xfId="3390"/>
    <cellStyle name="Comma 2 5 3 2 2 6" xfId="4258"/>
    <cellStyle name="Comma 2 5 3 2 2 7" xfId="5089"/>
    <cellStyle name="Comma 2 5 3 2 2 8" xfId="5548"/>
    <cellStyle name="Comma 2 5 3 2 3" xfId="1850"/>
    <cellStyle name="Comma 2 5 3 2 3 2" xfId="2776"/>
    <cellStyle name="Comma 2 5 3 2 3 3" xfId="3640"/>
    <cellStyle name="Comma 2 5 3 2 3 4" xfId="4515"/>
    <cellStyle name="Comma 2 5 3 2 3 5" xfId="5091"/>
    <cellStyle name="Comma 2 5 3 2 3 6" xfId="5820"/>
    <cellStyle name="Comma 2 5 3 2 4" xfId="2125"/>
    <cellStyle name="Comma 2 5 3 2 4 2" xfId="3031"/>
    <cellStyle name="Comma 2 5 3 2 4 3" xfId="3901"/>
    <cellStyle name="Comma 2 5 3 2 4 4" xfId="4779"/>
    <cellStyle name="Comma 2 5 3 2 4 5" xfId="6088"/>
    <cellStyle name="Comma 2 5 3 2 5" xfId="2382"/>
    <cellStyle name="Comma 2 5 3 2 5 2" xfId="3241"/>
    <cellStyle name="Comma 2 5 3 2 5 3" xfId="4107"/>
    <cellStyle name="Comma 2 5 3 2 5 4" xfId="4986"/>
    <cellStyle name="Comma 2 5 3 2 5 5" xfId="6296"/>
    <cellStyle name="Comma 2 5 3 2 6" xfId="2526"/>
    <cellStyle name="Comma 2 5 3 2 7" xfId="3389"/>
    <cellStyle name="Comma 2 5 3 2 8" xfId="4257"/>
    <cellStyle name="Comma 2 5 3 2 9" xfId="5088"/>
    <cellStyle name="Comma 2 5 3 3" xfId="1498"/>
    <cellStyle name="Comma 2 5 3 3 2" xfId="1852"/>
    <cellStyle name="Comma 2 5 3 3 2 2" xfId="2778"/>
    <cellStyle name="Comma 2 5 3 3 2 3" xfId="3642"/>
    <cellStyle name="Comma 2 5 3 3 2 4" xfId="4517"/>
    <cellStyle name="Comma 2 5 3 3 2 5" xfId="5093"/>
    <cellStyle name="Comma 2 5 3 3 2 6" xfId="5822"/>
    <cellStyle name="Comma 2 5 3 3 3" xfId="2127"/>
    <cellStyle name="Comma 2 5 3 3 3 2" xfId="3033"/>
    <cellStyle name="Comma 2 5 3 3 3 3" xfId="3903"/>
    <cellStyle name="Comma 2 5 3 3 3 4" xfId="4781"/>
    <cellStyle name="Comma 2 5 3 3 3 5" xfId="6090"/>
    <cellStyle name="Comma 2 5 3 3 4" xfId="2528"/>
    <cellStyle name="Comma 2 5 3 3 5" xfId="3391"/>
    <cellStyle name="Comma 2 5 3 3 6" xfId="4259"/>
    <cellStyle name="Comma 2 5 3 3 7" xfId="5092"/>
    <cellStyle name="Comma 2 5 3 3 8" xfId="5549"/>
    <cellStyle name="Comma 2 5 3 4" xfId="1849"/>
    <cellStyle name="Comma 2 5 3 4 2" xfId="2775"/>
    <cellStyle name="Comma 2 5 3 4 3" xfId="3639"/>
    <cellStyle name="Comma 2 5 3 4 4" xfId="4514"/>
    <cellStyle name="Comma 2 5 3 4 5" xfId="5094"/>
    <cellStyle name="Comma 2 5 3 4 6" xfId="5819"/>
    <cellStyle name="Comma 2 5 3 5" xfId="2124"/>
    <cellStyle name="Comma 2 5 3 5 2" xfId="3030"/>
    <cellStyle name="Comma 2 5 3 5 3" xfId="3900"/>
    <cellStyle name="Comma 2 5 3 5 4" xfId="4778"/>
    <cellStyle name="Comma 2 5 3 5 5" xfId="6087"/>
    <cellStyle name="Comma 2 5 3 6" xfId="2338"/>
    <cellStyle name="Comma 2 5 3 6 2" xfId="3197"/>
    <cellStyle name="Comma 2 5 3 6 3" xfId="4063"/>
    <cellStyle name="Comma 2 5 3 6 4" xfId="4942"/>
    <cellStyle name="Comma 2 5 3 6 5" xfId="6252"/>
    <cellStyle name="Comma 2 5 3 7" xfId="2525"/>
    <cellStyle name="Comma 2 5 3 8" xfId="3388"/>
    <cellStyle name="Comma 2 5 3 9" xfId="4256"/>
    <cellStyle name="Comma 2 5 4" xfId="1499"/>
    <cellStyle name="Comma 2 5 4 10" xfId="5550"/>
    <cellStyle name="Comma 2 5 4 2" xfId="1500"/>
    <cellStyle name="Comma 2 5 4 2 2" xfId="1854"/>
    <cellStyle name="Comma 2 5 4 2 2 2" xfId="2780"/>
    <cellStyle name="Comma 2 5 4 2 2 3" xfId="3644"/>
    <cellStyle name="Comma 2 5 4 2 2 4" xfId="4519"/>
    <cellStyle name="Comma 2 5 4 2 2 5" xfId="5097"/>
    <cellStyle name="Comma 2 5 4 2 2 6" xfId="5824"/>
    <cellStyle name="Comma 2 5 4 2 3" xfId="2129"/>
    <cellStyle name="Comma 2 5 4 2 3 2" xfId="3035"/>
    <cellStyle name="Comma 2 5 4 2 3 3" xfId="3905"/>
    <cellStyle name="Comma 2 5 4 2 3 4" xfId="4783"/>
    <cellStyle name="Comma 2 5 4 2 3 5" xfId="6092"/>
    <cellStyle name="Comma 2 5 4 2 4" xfId="2530"/>
    <cellStyle name="Comma 2 5 4 2 5" xfId="3393"/>
    <cellStyle name="Comma 2 5 4 2 6" xfId="4261"/>
    <cellStyle name="Comma 2 5 4 2 7" xfId="5096"/>
    <cellStyle name="Comma 2 5 4 2 8" xfId="5551"/>
    <cellStyle name="Comma 2 5 4 3" xfId="1853"/>
    <cellStyle name="Comma 2 5 4 3 2" xfId="2779"/>
    <cellStyle name="Comma 2 5 4 3 3" xfId="3643"/>
    <cellStyle name="Comma 2 5 4 3 4" xfId="4518"/>
    <cellStyle name="Comma 2 5 4 3 5" xfId="5098"/>
    <cellStyle name="Comma 2 5 4 3 6" xfId="5823"/>
    <cellStyle name="Comma 2 5 4 4" xfId="2128"/>
    <cellStyle name="Comma 2 5 4 4 2" xfId="3034"/>
    <cellStyle name="Comma 2 5 4 4 3" xfId="3904"/>
    <cellStyle name="Comma 2 5 4 4 4" xfId="4782"/>
    <cellStyle name="Comma 2 5 4 4 5" xfId="6091"/>
    <cellStyle name="Comma 2 5 4 5" xfId="2360"/>
    <cellStyle name="Comma 2 5 4 5 2" xfId="3219"/>
    <cellStyle name="Comma 2 5 4 5 3" xfId="4085"/>
    <cellStyle name="Comma 2 5 4 5 4" xfId="4964"/>
    <cellStyle name="Comma 2 5 4 5 5" xfId="6274"/>
    <cellStyle name="Comma 2 5 4 6" xfId="2529"/>
    <cellStyle name="Comma 2 5 4 7" xfId="3392"/>
    <cellStyle name="Comma 2 5 4 8" xfId="4260"/>
    <cellStyle name="Comma 2 5 4 9" xfId="5095"/>
    <cellStyle name="Comma 2 5 5" xfId="1501"/>
    <cellStyle name="Comma 2 5 5 2" xfId="1855"/>
    <cellStyle name="Comma 2 5 5 2 2" xfId="2781"/>
    <cellStyle name="Comma 2 5 5 2 3" xfId="3645"/>
    <cellStyle name="Comma 2 5 5 2 4" xfId="4520"/>
    <cellStyle name="Comma 2 5 5 2 5" xfId="5100"/>
    <cellStyle name="Comma 2 5 5 2 6" xfId="5825"/>
    <cellStyle name="Comma 2 5 5 3" xfId="2130"/>
    <cellStyle name="Comma 2 5 5 3 2" xfId="3036"/>
    <cellStyle name="Comma 2 5 5 3 3" xfId="3906"/>
    <cellStyle name="Comma 2 5 5 3 4" xfId="4784"/>
    <cellStyle name="Comma 2 5 5 3 5" xfId="6093"/>
    <cellStyle name="Comma 2 5 5 4" xfId="2531"/>
    <cellStyle name="Comma 2 5 5 5" xfId="3394"/>
    <cellStyle name="Comma 2 5 5 6" xfId="4262"/>
    <cellStyle name="Comma 2 5 5 7" xfId="5099"/>
    <cellStyle name="Comma 2 5 5 8" xfId="5552"/>
    <cellStyle name="Comma 2 5 6" xfId="1840"/>
    <cellStyle name="Comma 2 5 6 2" xfId="2766"/>
    <cellStyle name="Comma 2 5 6 3" xfId="3630"/>
    <cellStyle name="Comma 2 5 6 4" xfId="4505"/>
    <cellStyle name="Comma 2 5 6 5" xfId="5101"/>
    <cellStyle name="Comma 2 5 6 6" xfId="5810"/>
    <cellStyle name="Comma 2 5 7" xfId="2115"/>
    <cellStyle name="Comma 2 5 7 2" xfId="3021"/>
    <cellStyle name="Comma 2 5 7 3" xfId="3891"/>
    <cellStyle name="Comma 2 5 7 4" xfId="4769"/>
    <cellStyle name="Comma 2 5 7 5" xfId="6078"/>
    <cellStyle name="Comma 2 5 8" xfId="2320"/>
    <cellStyle name="Comma 2 5 8 2" xfId="3179"/>
    <cellStyle name="Comma 2 5 8 3" xfId="4045"/>
    <cellStyle name="Comma 2 5 8 4" xfId="4924"/>
    <cellStyle name="Comma 2 5 8 5" xfId="6234"/>
    <cellStyle name="Comma 2 5 9" xfId="2516"/>
    <cellStyle name="Comma 2 6" xfId="1677"/>
    <cellStyle name="Comma 2 7" xfId="1993"/>
    <cellStyle name="Comma 2 7 2" xfId="2899"/>
    <cellStyle name="Comma 2 7 3" xfId="3762"/>
    <cellStyle name="Comma 2 7 4" xfId="4638"/>
    <cellStyle name="Comma 2 7 5" xfId="5947"/>
    <cellStyle name="Comma 2 8" xfId="2248"/>
    <cellStyle name="Comma 2 8 2" xfId="3153"/>
    <cellStyle name="Comma 2 8 3" xfId="4023"/>
    <cellStyle name="Comma 2 8 4" xfId="4902"/>
    <cellStyle name="Comma 2 8 5" xfId="6211"/>
    <cellStyle name="Comma 2 9" xfId="2258"/>
    <cellStyle name="Comma 2 9 2" xfId="3163"/>
    <cellStyle name="Comma 2 9 3" xfId="4032"/>
    <cellStyle name="Comma 2 9 4" xfId="4911"/>
    <cellStyle name="Comma 2 9 5" xfId="6220"/>
    <cellStyle name="Comma 2_Comparison 2015 and 2016" xfId="6603"/>
    <cellStyle name="Comma 3" xfId="1164"/>
    <cellStyle name="Comma 3 2" xfId="1978"/>
    <cellStyle name="Comma 3 3" xfId="5102"/>
    <cellStyle name="Comma 3 4" xfId="1338"/>
    <cellStyle name="Comma 3 5" xfId="6455"/>
    <cellStyle name="Comma 3 6" xfId="6458"/>
    <cellStyle name="Comma 3_Comparison 2015 and 2016" xfId="6604"/>
    <cellStyle name="Comma 4" xfId="1210"/>
    <cellStyle name="Comma 4 2" xfId="1267"/>
    <cellStyle name="Comma 4 2 2" xfId="1502"/>
    <cellStyle name="Comma 4 2 3" xfId="1988"/>
    <cellStyle name="Comma 4 2 3 2" xfId="2246"/>
    <cellStyle name="Comma 4 2 3 2 2" xfId="3151"/>
    <cellStyle name="Comma 4 2 3 2 3" xfId="4021"/>
    <cellStyle name="Comma 4 2 3 2 4" xfId="4900"/>
    <cellStyle name="Comma 4 2 3 2 5" xfId="6209"/>
    <cellStyle name="Comma 4 2 3 3" xfId="2896"/>
    <cellStyle name="Comma 4 2 3 4" xfId="3760"/>
    <cellStyle name="Comma 4 2 3 5" xfId="4636"/>
    <cellStyle name="Comma 4 2 3 6" xfId="5945"/>
    <cellStyle name="Comma 4 3" xfId="1446"/>
    <cellStyle name="Comma 4 3 2" xfId="1805"/>
    <cellStyle name="Comma 4 3 2 2" xfId="2731"/>
    <cellStyle name="Comma 4 3 2 3" xfId="3595"/>
    <cellStyle name="Comma 4 3 2 4" xfId="4469"/>
    <cellStyle name="Comma 4 3 2 5" xfId="5774"/>
    <cellStyle name="Comma 4 3 3" xfId="2080"/>
    <cellStyle name="Comma 4 3 3 2" xfId="2986"/>
    <cellStyle name="Comma 4 3 3 3" xfId="3855"/>
    <cellStyle name="Comma 4 3 3 4" xfId="4733"/>
    <cellStyle name="Comma 4 3 3 5" xfId="6042"/>
    <cellStyle name="Comma 4 3 4" xfId="2480"/>
    <cellStyle name="Comma 4 3 5" xfId="3341"/>
    <cellStyle name="Comma 4 3 6" xfId="4209"/>
    <cellStyle name="Comma 4 3 7" xfId="5498"/>
    <cellStyle name="Comma 4 4" xfId="1672"/>
    <cellStyle name="Comma 4 5" xfId="1667"/>
    <cellStyle name="Comma 4 5 2" xfId="2647"/>
    <cellStyle name="Comma 4 5 3" xfId="3510"/>
    <cellStyle name="Comma 4 5 4" xfId="4380"/>
    <cellStyle name="Comma 4 5 5" xfId="5676"/>
    <cellStyle name="Comma 4 6" xfId="1996"/>
    <cellStyle name="Comma 4 6 2" xfId="2902"/>
    <cellStyle name="Comma 4 6 3" xfId="3767"/>
    <cellStyle name="Comma 4 6 4" xfId="4643"/>
    <cellStyle name="Comma 4 6 5" xfId="5952"/>
    <cellStyle name="Comma 5" xfId="1213"/>
    <cellStyle name="Comma 5 2" xfId="1447"/>
    <cellStyle name="Comma 5 2 2" xfId="1668"/>
    <cellStyle name="Comma 5 2 2 2" xfId="2648"/>
    <cellStyle name="Comma 5 2 2 3" xfId="3511"/>
    <cellStyle name="Comma 5 2 2 4" xfId="4382"/>
    <cellStyle name="Comma 5 2 2 5" xfId="5678"/>
    <cellStyle name="Comma 5 2 3" xfId="1997"/>
    <cellStyle name="Comma 5 2 3 2" xfId="2903"/>
    <cellStyle name="Comma 5 2 3 3" xfId="3769"/>
    <cellStyle name="Comma 5 2 3 4" xfId="4645"/>
    <cellStyle name="Comma 5 2 3 5" xfId="5954"/>
    <cellStyle name="Comma 5 2 4" xfId="2481"/>
    <cellStyle name="Comma 5 2 5" xfId="3343"/>
    <cellStyle name="Comma 5 2 6" xfId="4211"/>
    <cellStyle name="Comma 5 2 7" xfId="5500"/>
    <cellStyle name="Comma 6" xfId="1212"/>
    <cellStyle name="Comma 6 2" xfId="1503"/>
    <cellStyle name="Comma 7" xfId="1216"/>
    <cellStyle name="Comma 7 2" xfId="1270"/>
    <cellStyle name="Comma 7 2 2" xfId="1504"/>
    <cellStyle name="Comma 7 3" xfId="1505"/>
    <cellStyle name="Comma 8" xfId="1454"/>
    <cellStyle name="Comma 8 2" xfId="1808"/>
    <cellStyle name="Comma 8 2 2" xfId="2734"/>
    <cellStyle name="Comma 8 2 3" xfId="3598"/>
    <cellStyle name="Comma 8 2 4" xfId="4473"/>
    <cellStyle name="Comma 8 2 5" xfId="5778"/>
    <cellStyle name="Comma 8 3" xfId="2083"/>
    <cellStyle name="Comma 8 3 2" xfId="2989"/>
    <cellStyle name="Comma 8 3 3" xfId="3859"/>
    <cellStyle name="Comma 8 3 4" xfId="4737"/>
    <cellStyle name="Comma 8 3 5" xfId="6046"/>
    <cellStyle name="Comma 8 4" xfId="2484"/>
    <cellStyle name="Comma 8 5" xfId="3347"/>
    <cellStyle name="Comma 8 6" xfId="4215"/>
    <cellStyle name="Comma 8 7" xfId="5103"/>
    <cellStyle name="Comma 8 8" xfId="5505"/>
    <cellStyle name="Comma 9" xfId="1657"/>
    <cellStyle name="Commentaire" xfId="1247"/>
    <cellStyle name="Currency" xfId="6470"/>
    <cellStyle name="Currency 2" xfId="1506"/>
    <cellStyle name="Currency 2 2" xfId="6650"/>
    <cellStyle name="Currency 3" xfId="1670"/>
    <cellStyle name="Currency 3 2" xfId="5104"/>
    <cellStyle name="Currency 3_Comparison 2015 and 2016" xfId="6605"/>
    <cellStyle name="Currency 4" xfId="1203"/>
    <cellStyle name="Entrée" xfId="1248"/>
    <cellStyle name="Explanatory Text" xfId="173" builtinId="53" customBuiltin="1"/>
    <cellStyle name="Good" xfId="163" builtinId="26" customBuiltin="1"/>
    <cellStyle name="Heading 1" xfId="159" builtinId="16" customBuiltin="1"/>
    <cellStyle name="Heading 2" xfId="160" builtinId="17" customBuiltin="1"/>
    <cellStyle name="Heading 3" xfId="161" builtinId="18" customBuiltin="1"/>
    <cellStyle name="Heading 4" xfId="162" builtinId="19" customBuiltin="1"/>
    <cellStyle name="Hyperlink" xfId="28" builtinId="8"/>
    <cellStyle name="Hyperlink 2" xfId="6448"/>
    <cellStyle name="Hyperlink 3" xfId="6461"/>
    <cellStyle name="Hyperlink 4" xfId="6462"/>
    <cellStyle name="Hyperlink 5" xfId="6466"/>
    <cellStyle name="Input" xfId="166" builtinId="20" customBuiltin="1"/>
    <cellStyle name="Insatisfaisant" xfId="1249"/>
    <cellStyle name="Linked Cell" xfId="169" builtinId="24" customBuiltin="1"/>
    <cellStyle name="Neutral" xfId="165" builtinId="28" customBuiltin="1"/>
    <cellStyle name="Neutre" xfId="1250"/>
    <cellStyle name="Normal" xfId="0" builtinId="0"/>
    <cellStyle name="Normal 10" xfId="1101"/>
    <cellStyle name="Normal 10 10" xfId="1377"/>
    <cellStyle name="Normal 10 10 2" xfId="1748"/>
    <cellStyle name="Normal 10 10 2 2" xfId="2686"/>
    <cellStyle name="Normal 10 10 2 3" xfId="3550"/>
    <cellStyle name="Normal 10 10 2 4" xfId="4422"/>
    <cellStyle name="Normal 10 10 2 5" xfId="5726"/>
    <cellStyle name="Normal 10 10 3" xfId="2035"/>
    <cellStyle name="Normal 10 10 3 2" xfId="2941"/>
    <cellStyle name="Normal 10 10 3 3" xfId="3808"/>
    <cellStyle name="Normal 10 10 3 4" xfId="4686"/>
    <cellStyle name="Normal 10 10 3 5" xfId="5995"/>
    <cellStyle name="Normal 10 10 4" xfId="2435"/>
    <cellStyle name="Normal 10 10 5" xfId="3294"/>
    <cellStyle name="Normal 10 10 6" xfId="4162"/>
    <cellStyle name="Normal 10 10 7" xfId="5448"/>
    <cellStyle name="Normal 10 11" xfId="1382"/>
    <cellStyle name="Normal 10 11 2" xfId="1753"/>
    <cellStyle name="Normal 10 11 2 2" xfId="2690"/>
    <cellStyle name="Normal 10 11 2 3" xfId="3554"/>
    <cellStyle name="Normal 10 11 2 4" xfId="4426"/>
    <cellStyle name="Normal 10 11 2 5" xfId="5730"/>
    <cellStyle name="Normal 10 11 3" xfId="2039"/>
    <cellStyle name="Normal 10 11 3 2" xfId="2945"/>
    <cellStyle name="Normal 10 11 3 3" xfId="3812"/>
    <cellStyle name="Normal 10 11 3 4" xfId="4690"/>
    <cellStyle name="Normal 10 11 3 5" xfId="5999"/>
    <cellStyle name="Normal 10 11 4" xfId="2439"/>
    <cellStyle name="Normal 10 11 5" xfId="3298"/>
    <cellStyle name="Normal 10 11 6" xfId="4166"/>
    <cellStyle name="Normal 10 11 7" xfId="5452"/>
    <cellStyle name="Normal 10 12" xfId="1389"/>
    <cellStyle name="Normal 10 12 2" xfId="1759"/>
    <cellStyle name="Normal 10 12 2 2" xfId="2695"/>
    <cellStyle name="Normal 10 12 2 3" xfId="3559"/>
    <cellStyle name="Normal 10 12 2 4" xfId="4431"/>
    <cellStyle name="Normal 10 12 2 5" xfId="5735"/>
    <cellStyle name="Normal 10 12 3" xfId="2044"/>
    <cellStyle name="Normal 10 12 3 2" xfId="2950"/>
    <cellStyle name="Normal 10 12 3 3" xfId="3817"/>
    <cellStyle name="Normal 10 12 3 4" xfId="4695"/>
    <cellStyle name="Normal 10 12 3 5" xfId="6004"/>
    <cellStyle name="Normal 10 12 4" xfId="2444"/>
    <cellStyle name="Normal 10 12 5" xfId="3303"/>
    <cellStyle name="Normal 10 12 6" xfId="4171"/>
    <cellStyle name="Normal 10 12 7" xfId="5457"/>
    <cellStyle name="Normal 10 13" xfId="1402"/>
    <cellStyle name="Normal 10 13 2" xfId="1770"/>
    <cellStyle name="Normal 10 13 2 2" xfId="2699"/>
    <cellStyle name="Normal 10 13 2 3" xfId="3563"/>
    <cellStyle name="Normal 10 13 2 4" xfId="4435"/>
    <cellStyle name="Normal 10 13 2 5" xfId="5740"/>
    <cellStyle name="Normal 10 13 3" xfId="2048"/>
    <cellStyle name="Normal 10 13 3 2" xfId="2954"/>
    <cellStyle name="Normal 10 13 3 3" xfId="3821"/>
    <cellStyle name="Normal 10 13 3 4" xfId="4699"/>
    <cellStyle name="Normal 10 13 3 5" xfId="6008"/>
    <cellStyle name="Normal 10 13 4" xfId="2448"/>
    <cellStyle name="Normal 10 13 5" xfId="3307"/>
    <cellStyle name="Normal 10 13 6" xfId="4175"/>
    <cellStyle name="Normal 10 13 7" xfId="5462"/>
    <cellStyle name="Normal 10 14" xfId="1409"/>
    <cellStyle name="Normal 10 14 2" xfId="1775"/>
    <cellStyle name="Normal 10 14 2 2" xfId="2703"/>
    <cellStyle name="Normal 10 14 2 3" xfId="3567"/>
    <cellStyle name="Normal 10 14 2 4" xfId="4439"/>
    <cellStyle name="Normal 10 14 2 5" xfId="5744"/>
    <cellStyle name="Normal 10 14 3" xfId="2052"/>
    <cellStyle name="Normal 10 14 3 2" xfId="2958"/>
    <cellStyle name="Normal 10 14 3 3" xfId="3825"/>
    <cellStyle name="Normal 10 14 3 4" xfId="4703"/>
    <cellStyle name="Normal 10 14 3 5" xfId="6012"/>
    <cellStyle name="Normal 10 14 4" xfId="2452"/>
    <cellStyle name="Normal 10 14 5" xfId="3311"/>
    <cellStyle name="Normal 10 14 6" xfId="4179"/>
    <cellStyle name="Normal 10 14 7" xfId="5466"/>
    <cellStyle name="Normal 10 15" xfId="1414"/>
    <cellStyle name="Normal 10 15 2" xfId="1780"/>
    <cellStyle name="Normal 10 15 2 2" xfId="2707"/>
    <cellStyle name="Normal 10 15 2 3" xfId="3571"/>
    <cellStyle name="Normal 10 15 2 4" xfId="4443"/>
    <cellStyle name="Normal 10 15 2 5" xfId="5748"/>
    <cellStyle name="Normal 10 15 3" xfId="2056"/>
    <cellStyle name="Normal 10 15 3 2" xfId="2962"/>
    <cellStyle name="Normal 10 15 3 3" xfId="3829"/>
    <cellStyle name="Normal 10 15 3 4" xfId="4707"/>
    <cellStyle name="Normal 10 15 3 5" xfId="6016"/>
    <cellStyle name="Normal 10 15 4" xfId="2456"/>
    <cellStyle name="Normal 10 15 5" xfId="3315"/>
    <cellStyle name="Normal 10 15 6" xfId="4183"/>
    <cellStyle name="Normal 10 15 7" xfId="5470"/>
    <cellStyle name="Normal 10 16" xfId="1418"/>
    <cellStyle name="Normal 10 16 2" xfId="1784"/>
    <cellStyle name="Normal 10 16 2 2" xfId="2711"/>
    <cellStyle name="Normal 10 16 2 3" xfId="3575"/>
    <cellStyle name="Normal 10 16 2 4" xfId="4447"/>
    <cellStyle name="Normal 10 16 2 5" xfId="5752"/>
    <cellStyle name="Normal 10 16 3" xfId="2060"/>
    <cellStyle name="Normal 10 16 3 2" xfId="2966"/>
    <cellStyle name="Normal 10 16 3 3" xfId="3833"/>
    <cellStyle name="Normal 10 16 3 4" xfId="4711"/>
    <cellStyle name="Normal 10 16 3 5" xfId="6020"/>
    <cellStyle name="Normal 10 16 4" xfId="2460"/>
    <cellStyle name="Normal 10 16 5" xfId="3319"/>
    <cellStyle name="Normal 10 16 6" xfId="4187"/>
    <cellStyle name="Normal 10 16 7" xfId="5474"/>
    <cellStyle name="Normal 10 17" xfId="1428"/>
    <cellStyle name="Normal 10 17 2" xfId="1792"/>
    <cellStyle name="Normal 10 17 2 2" xfId="2719"/>
    <cellStyle name="Normal 10 17 2 3" xfId="3583"/>
    <cellStyle name="Normal 10 17 2 4" xfId="4455"/>
    <cellStyle name="Normal 10 17 2 5" xfId="5760"/>
    <cellStyle name="Normal 10 17 3" xfId="2068"/>
    <cellStyle name="Normal 10 17 3 2" xfId="2974"/>
    <cellStyle name="Normal 10 17 3 3" xfId="3841"/>
    <cellStyle name="Normal 10 17 3 4" xfId="4719"/>
    <cellStyle name="Normal 10 17 3 5" xfId="6028"/>
    <cellStyle name="Normal 10 17 4" xfId="2468"/>
    <cellStyle name="Normal 10 17 5" xfId="3327"/>
    <cellStyle name="Normal 10 17 6" xfId="4195"/>
    <cellStyle name="Normal 10 17 7" xfId="5483"/>
    <cellStyle name="Normal 10 18" xfId="1434"/>
    <cellStyle name="Normal 10 18 2" xfId="1798"/>
    <cellStyle name="Normal 10 18 2 2" xfId="2724"/>
    <cellStyle name="Normal 10 18 2 3" xfId="3588"/>
    <cellStyle name="Normal 10 18 2 4" xfId="4460"/>
    <cellStyle name="Normal 10 18 2 5" xfId="5765"/>
    <cellStyle name="Normal 10 18 3" xfId="2073"/>
    <cellStyle name="Normal 10 18 3 2" xfId="2979"/>
    <cellStyle name="Normal 10 18 3 3" xfId="3846"/>
    <cellStyle name="Normal 10 18 3 4" xfId="4724"/>
    <cellStyle name="Normal 10 18 3 5" xfId="6033"/>
    <cellStyle name="Normal 10 18 4" xfId="2473"/>
    <cellStyle name="Normal 10 18 5" xfId="3332"/>
    <cellStyle name="Normal 10 18 6" xfId="4200"/>
    <cellStyle name="Normal 10 18 7" xfId="5488"/>
    <cellStyle name="Normal 10 19" xfId="1662"/>
    <cellStyle name="Normal 10 19 2" xfId="1967"/>
    <cellStyle name="Normal 10 19 2 2" xfId="2892"/>
    <cellStyle name="Normal 10 19 2 3" xfId="3756"/>
    <cellStyle name="Normal 10 19 2 4" xfId="4631"/>
    <cellStyle name="Normal 10 19 2 5" xfId="5936"/>
    <cellStyle name="Normal 10 19 3" xfId="2241"/>
    <cellStyle name="Normal 10 19 3 2" xfId="3147"/>
    <cellStyle name="Normal 10 19 3 3" xfId="4017"/>
    <cellStyle name="Normal 10 19 3 4" xfId="4895"/>
    <cellStyle name="Normal 10 19 3 5" xfId="6204"/>
    <cellStyle name="Normal 10 19 4" xfId="2642"/>
    <cellStyle name="Normal 10 19 5" xfId="3505"/>
    <cellStyle name="Normal 10 19 6" xfId="4373"/>
    <cellStyle name="Normal 10 19 7" xfId="5669"/>
    <cellStyle name="Normal 10 2" xfId="1276"/>
    <cellStyle name="Normal 10 2 10" xfId="4127"/>
    <cellStyle name="Normal 10 2 11" xfId="5106"/>
    <cellStyle name="Normal 10 2 12" xfId="5399"/>
    <cellStyle name="Normal 10 2 2" xfId="1507"/>
    <cellStyle name="Normal 10 2 2 10" xfId="5553"/>
    <cellStyle name="Normal 10 2 2 2" xfId="1508"/>
    <cellStyle name="Normal 10 2 2 2 2" xfId="1857"/>
    <cellStyle name="Normal 10 2 2 2 2 2" xfId="2783"/>
    <cellStyle name="Normal 10 2 2 2 2 3" xfId="3647"/>
    <cellStyle name="Normal 10 2 2 2 2 4" xfId="4522"/>
    <cellStyle name="Normal 10 2 2 2 2 5" xfId="5109"/>
    <cellStyle name="Normal 10 2 2 2 2 6" xfId="5827"/>
    <cellStyle name="Normal 10 2 2 2 2_Monthly Price Data Petroleum" xfId="6330"/>
    <cellStyle name="Normal 10 2 2 2 3" xfId="2132"/>
    <cellStyle name="Normal 10 2 2 2 3 2" xfId="3038"/>
    <cellStyle name="Normal 10 2 2 2 3 3" xfId="3908"/>
    <cellStyle name="Normal 10 2 2 2 3 4" xfId="4786"/>
    <cellStyle name="Normal 10 2 2 2 3 5" xfId="6095"/>
    <cellStyle name="Normal 10 2 2 2 4" xfId="2533"/>
    <cellStyle name="Normal 10 2 2 2 5" xfId="3396"/>
    <cellStyle name="Normal 10 2 2 2 6" xfId="4264"/>
    <cellStyle name="Normal 10 2 2 2 7" xfId="5108"/>
    <cellStyle name="Normal 10 2 2 2 8" xfId="5554"/>
    <cellStyle name="Normal 10 2 2 2_Monthly Price Data Petroleum" xfId="6317"/>
    <cellStyle name="Normal 10 2 2 3" xfId="1856"/>
    <cellStyle name="Normal 10 2 2 3 2" xfId="2782"/>
    <cellStyle name="Normal 10 2 2 3 3" xfId="3646"/>
    <cellStyle name="Normal 10 2 2 3 4" xfId="4521"/>
    <cellStyle name="Normal 10 2 2 3 5" xfId="5110"/>
    <cellStyle name="Normal 10 2 2 3 6" xfId="5826"/>
    <cellStyle name="Normal 10 2 2 3_Monthly Price Data Petroleum" xfId="6378"/>
    <cellStyle name="Normal 10 2 2 4" xfId="2131"/>
    <cellStyle name="Normal 10 2 2 4 2" xfId="3037"/>
    <cellStyle name="Normal 10 2 2 4 3" xfId="3907"/>
    <cellStyle name="Normal 10 2 2 4 4" xfId="4785"/>
    <cellStyle name="Normal 10 2 2 4 5" xfId="6094"/>
    <cellStyle name="Normal 10 2 2 5" xfId="2385"/>
    <cellStyle name="Normal 10 2 2 5 2" xfId="3244"/>
    <cellStyle name="Normal 10 2 2 5 3" xfId="4110"/>
    <cellStyle name="Normal 10 2 2 5 4" xfId="4989"/>
    <cellStyle name="Normal 10 2 2 5 5" xfId="6299"/>
    <cellStyle name="Normal 10 2 2 6" xfId="2532"/>
    <cellStyle name="Normal 10 2 2 7" xfId="3395"/>
    <cellStyle name="Normal 10 2 2 8" xfId="4263"/>
    <cellStyle name="Normal 10 2 2 9" xfId="5107"/>
    <cellStyle name="Normal 10 2 2_Monthly Price Data" xfId="2312"/>
    <cellStyle name="Normal 10 2 3" xfId="1509"/>
    <cellStyle name="Normal 10 2 3 2" xfId="1858"/>
    <cellStyle name="Normal 10 2 3 2 2" xfId="2784"/>
    <cellStyle name="Normal 10 2 3 2 3" xfId="3648"/>
    <cellStyle name="Normal 10 2 3 2 4" xfId="4523"/>
    <cellStyle name="Normal 10 2 3 2 5" xfId="5112"/>
    <cellStyle name="Normal 10 2 3 2 6" xfId="5828"/>
    <cellStyle name="Normal 10 2 3 2_Monthly Price Data Petroleum" xfId="5680"/>
    <cellStyle name="Normal 10 2 3 3" xfId="2133"/>
    <cellStyle name="Normal 10 2 3 3 2" xfId="3039"/>
    <cellStyle name="Normal 10 2 3 3 3" xfId="3909"/>
    <cellStyle name="Normal 10 2 3 3 4" xfId="4787"/>
    <cellStyle name="Normal 10 2 3 3 5" xfId="6096"/>
    <cellStyle name="Normal 10 2 3 4" xfId="2534"/>
    <cellStyle name="Normal 10 2 3 5" xfId="3397"/>
    <cellStyle name="Normal 10 2 3 6" xfId="4265"/>
    <cellStyle name="Normal 10 2 3 7" xfId="5111"/>
    <cellStyle name="Normal 10 2 3 8" xfId="5555"/>
    <cellStyle name="Normal 10 2 3_Monthly Price Data Petroleum" xfId="6338"/>
    <cellStyle name="Normal 10 2 4" xfId="1986"/>
    <cellStyle name="Normal 10 2 4 2" xfId="5113"/>
    <cellStyle name="Normal 10 2 4 3" xfId="5706"/>
    <cellStyle name="Normal 10 2 4_Monthly Price Data Petroleum" xfId="6345"/>
    <cellStyle name="Normal 10 2 5" xfId="1685"/>
    <cellStyle name="Normal 10 2 5 2" xfId="2653"/>
    <cellStyle name="Normal 10 2 5 3" xfId="3516"/>
    <cellStyle name="Normal 10 2 5 4" xfId="4387"/>
    <cellStyle name="Normal 10 2 5 5" xfId="5687"/>
    <cellStyle name="Normal 10 2 6" xfId="2002"/>
    <cellStyle name="Normal 10 2 6 2" xfId="2908"/>
    <cellStyle name="Normal 10 2 6 3" xfId="3774"/>
    <cellStyle name="Normal 10 2 6 4" xfId="4651"/>
    <cellStyle name="Normal 10 2 6 5" xfId="5960"/>
    <cellStyle name="Normal 10 2 7" xfId="2341"/>
    <cellStyle name="Normal 10 2 7 2" xfId="3200"/>
    <cellStyle name="Normal 10 2 7 3" xfId="4066"/>
    <cellStyle name="Normal 10 2 7 4" xfId="4945"/>
    <cellStyle name="Normal 10 2 7 5" xfId="6255"/>
    <cellStyle name="Normal 10 2 8" xfId="2402"/>
    <cellStyle name="Normal 10 2 9" xfId="3261"/>
    <cellStyle name="Normal 10 2_Monthly Price Data" xfId="2313"/>
    <cellStyle name="Normal 10 20" xfId="1681"/>
    <cellStyle name="Normal 10 20 2" xfId="1999"/>
    <cellStyle name="Normal 10 20 2 2" xfId="2905"/>
    <cellStyle name="Normal 10 20 2 3" xfId="3771"/>
    <cellStyle name="Normal 10 20 2 4" xfId="4648"/>
    <cellStyle name="Normal 10 20 2 5" xfId="5957"/>
    <cellStyle name="Normal 10 20 3" xfId="2650"/>
    <cellStyle name="Normal 10 20 4" xfId="3513"/>
    <cellStyle name="Normal 10 20 5" xfId="4384"/>
    <cellStyle name="Normal 10 20 6" xfId="5684"/>
    <cellStyle name="Normal 10 21" xfId="2253"/>
    <cellStyle name="Normal 10 21 2" xfId="3158"/>
    <cellStyle name="Normal 10 21 3" xfId="4027"/>
    <cellStyle name="Normal 10 21 4" xfId="4906"/>
    <cellStyle name="Normal 10 21 5" xfId="6215"/>
    <cellStyle name="Normal 10 22" xfId="2285"/>
    <cellStyle name="Normal 10 22 2" xfId="3167"/>
    <cellStyle name="Normal 10 22 3" xfId="4035"/>
    <cellStyle name="Normal 10 22 4" xfId="4914"/>
    <cellStyle name="Normal 10 22 5" xfId="6224"/>
    <cellStyle name="Normal 10 23" xfId="2399"/>
    <cellStyle name="Normal 10 24" xfId="3258"/>
    <cellStyle name="Normal 10 25" xfId="4124"/>
    <cellStyle name="Normal 10 26" xfId="5105"/>
    <cellStyle name="Normal 10 27" xfId="5396"/>
    <cellStyle name="Normal 10 28" xfId="1272"/>
    <cellStyle name="Normal 10 3" xfId="1288"/>
    <cellStyle name="Normal 10 3 10" xfId="5405"/>
    <cellStyle name="Normal 10 3 2" xfId="1510"/>
    <cellStyle name="Normal 10 3 2 2" xfId="1859"/>
    <cellStyle name="Normal 10 3 2 2 2" xfId="2785"/>
    <cellStyle name="Normal 10 3 2 2 3" xfId="3649"/>
    <cellStyle name="Normal 10 3 2 2 4" xfId="4524"/>
    <cellStyle name="Normal 10 3 2 2 5" xfId="5116"/>
    <cellStyle name="Normal 10 3 2 2 6" xfId="5829"/>
    <cellStyle name="Normal 10 3 2 2_Monthly Price Data Petroleum" xfId="6320"/>
    <cellStyle name="Normal 10 3 2 3" xfId="2134"/>
    <cellStyle name="Normal 10 3 2 3 2" xfId="3040"/>
    <cellStyle name="Normal 10 3 2 3 3" xfId="3910"/>
    <cellStyle name="Normal 10 3 2 3 4" xfId="4788"/>
    <cellStyle name="Normal 10 3 2 3 5" xfId="6097"/>
    <cellStyle name="Normal 10 3 2 4" xfId="2535"/>
    <cellStyle name="Normal 10 3 2 5" xfId="3398"/>
    <cellStyle name="Normal 10 3 2 6" xfId="4266"/>
    <cellStyle name="Normal 10 3 2 7" xfId="5115"/>
    <cellStyle name="Normal 10 3 2 8" xfId="5556"/>
    <cellStyle name="Normal 10 3 2_Monthly Price Data Petroleum" xfId="5417"/>
    <cellStyle name="Normal 10 3 3" xfId="1695"/>
    <cellStyle name="Normal 10 3 3 2" xfId="2657"/>
    <cellStyle name="Normal 10 3 3 3" xfId="3520"/>
    <cellStyle name="Normal 10 3 3 4" xfId="4391"/>
    <cellStyle name="Normal 10 3 3 5" xfId="5117"/>
    <cellStyle name="Normal 10 3 3 6" xfId="5692"/>
    <cellStyle name="Normal 10 3 3_Monthly Price Data Petroleum" xfId="5944"/>
    <cellStyle name="Normal 10 3 4" xfId="2006"/>
    <cellStyle name="Normal 10 3 4 2" xfId="2912"/>
    <cellStyle name="Normal 10 3 4 3" xfId="3778"/>
    <cellStyle name="Normal 10 3 4 4" xfId="4655"/>
    <cellStyle name="Normal 10 3 4 5" xfId="5964"/>
    <cellStyle name="Normal 10 3 5" xfId="2363"/>
    <cellStyle name="Normal 10 3 5 2" xfId="3222"/>
    <cellStyle name="Normal 10 3 5 3" xfId="4088"/>
    <cellStyle name="Normal 10 3 5 4" xfId="4967"/>
    <cellStyle name="Normal 10 3 5 5" xfId="6277"/>
    <cellStyle name="Normal 10 3 6" xfId="2406"/>
    <cellStyle name="Normal 10 3 7" xfId="3265"/>
    <cellStyle name="Normal 10 3 8" xfId="4131"/>
    <cellStyle name="Normal 10 3 9" xfId="5114"/>
    <cellStyle name="Normal 10 3_Monthly Price Data" xfId="2311"/>
    <cellStyle name="Normal 10 4" xfId="1295"/>
    <cellStyle name="Normal 10 4 2" xfId="1702"/>
    <cellStyle name="Normal 10 4 2 2" xfId="2661"/>
    <cellStyle name="Normal 10 4 2 3" xfId="3524"/>
    <cellStyle name="Normal 10 4 2 4" xfId="4395"/>
    <cellStyle name="Normal 10 4 2 5" xfId="5119"/>
    <cellStyle name="Normal 10 4 2 6" xfId="5697"/>
    <cellStyle name="Normal 10 4 2_Monthly Price Data Petroleum" xfId="5943"/>
    <cellStyle name="Normal 10 4 3" xfId="2010"/>
    <cellStyle name="Normal 10 4 3 2" xfId="2916"/>
    <cellStyle name="Normal 10 4 3 3" xfId="3782"/>
    <cellStyle name="Normal 10 4 3 4" xfId="4659"/>
    <cellStyle name="Normal 10 4 3 5" xfId="5968"/>
    <cellStyle name="Normal 10 4 4" xfId="2410"/>
    <cellStyle name="Normal 10 4 5" xfId="3269"/>
    <cellStyle name="Normal 10 4 6" xfId="4135"/>
    <cellStyle name="Normal 10 4 7" xfId="5118"/>
    <cellStyle name="Normal 10 4 8" xfId="5409"/>
    <cellStyle name="Normal 10 4_Monthly Price Data Petroleum" xfId="6349"/>
    <cellStyle name="Normal 10 5" xfId="1304"/>
    <cellStyle name="Normal 10 5 2" xfId="1710"/>
    <cellStyle name="Normal 10 5 2 2" xfId="2665"/>
    <cellStyle name="Normal 10 5 2 3" xfId="3528"/>
    <cellStyle name="Normal 10 5 2 4" xfId="4399"/>
    <cellStyle name="Normal 10 5 2 5" xfId="5701"/>
    <cellStyle name="Normal 10 5 3" xfId="2014"/>
    <cellStyle name="Normal 10 5 3 2" xfId="2920"/>
    <cellStyle name="Normal 10 5 3 3" xfId="3786"/>
    <cellStyle name="Normal 10 5 3 4" xfId="4663"/>
    <cellStyle name="Normal 10 5 3 5" xfId="5972"/>
    <cellStyle name="Normal 10 5 4" xfId="2414"/>
    <cellStyle name="Normal 10 5 5" xfId="3273"/>
    <cellStyle name="Normal 10 5 6" xfId="4139"/>
    <cellStyle name="Normal 10 5 7" xfId="5120"/>
    <cellStyle name="Normal 10 5 8" xfId="5413"/>
    <cellStyle name="Normal 10 5_Monthly Price Data Petroleum" xfId="6385"/>
    <cellStyle name="Normal 10 6" xfId="1330"/>
    <cellStyle name="Normal 10 7" xfId="1348"/>
    <cellStyle name="Normal 10 7 2" xfId="1719"/>
    <cellStyle name="Normal 10 7 2 2" xfId="2669"/>
    <cellStyle name="Normal 10 7 2 3" xfId="3532"/>
    <cellStyle name="Normal 10 7 2 4" xfId="4404"/>
    <cellStyle name="Normal 10 7 2 5" xfId="5707"/>
    <cellStyle name="Normal 10 7 3" xfId="2018"/>
    <cellStyle name="Normal 10 7 3 2" xfId="2924"/>
    <cellStyle name="Normal 10 7 3 3" xfId="3790"/>
    <cellStyle name="Normal 10 7 3 4" xfId="4668"/>
    <cellStyle name="Normal 10 7 3 5" xfId="5977"/>
    <cellStyle name="Normal 10 7 4" xfId="2418"/>
    <cellStyle name="Normal 10 7 5" xfId="3277"/>
    <cellStyle name="Normal 10 7 6" xfId="4143"/>
    <cellStyle name="Normal 10 7 7" xfId="5425"/>
    <cellStyle name="Normal 10 8" xfId="1354"/>
    <cellStyle name="Normal 10 8 2" xfId="1725"/>
    <cellStyle name="Normal 10 8 2 2" xfId="2673"/>
    <cellStyle name="Normal 10 8 2 3" xfId="3537"/>
    <cellStyle name="Normal 10 8 2 4" xfId="4409"/>
    <cellStyle name="Normal 10 8 2 5" xfId="5712"/>
    <cellStyle name="Normal 10 8 3" xfId="2022"/>
    <cellStyle name="Normal 10 8 3 2" xfId="2928"/>
    <cellStyle name="Normal 10 8 3 3" xfId="3795"/>
    <cellStyle name="Normal 10 8 3 4" xfId="4673"/>
    <cellStyle name="Normal 10 8 3 5" xfId="5982"/>
    <cellStyle name="Normal 10 8 4" xfId="2422"/>
    <cellStyle name="Normal 10 8 5" xfId="3281"/>
    <cellStyle name="Normal 10 8 6" xfId="4149"/>
    <cellStyle name="Normal 10 8 7" xfId="5431"/>
    <cellStyle name="Normal 10 9" xfId="1369"/>
    <cellStyle name="Normal 10 9 2" xfId="1740"/>
    <cellStyle name="Normal 10 9 2 2" xfId="2680"/>
    <cellStyle name="Normal 10 9 2 3" xfId="3544"/>
    <cellStyle name="Normal 10 9 2 4" xfId="4416"/>
    <cellStyle name="Normal 10 9 2 5" xfId="5720"/>
    <cellStyle name="Normal 10 9 3" xfId="2029"/>
    <cellStyle name="Normal 10 9 3 2" xfId="2935"/>
    <cellStyle name="Normal 10 9 3 3" xfId="3802"/>
    <cellStyle name="Normal 10 9 3 4" xfId="4680"/>
    <cellStyle name="Normal 10 9 3 5" xfId="5989"/>
    <cellStyle name="Normal 10 9 4" xfId="2429"/>
    <cellStyle name="Normal 10 9 5" xfId="3288"/>
    <cellStyle name="Normal 10 9 6" xfId="4156"/>
    <cellStyle name="Normal 10 9 7" xfId="5441"/>
    <cellStyle name="Normal 10_2015  Data" xfId="5121"/>
    <cellStyle name="Normal 100" xfId="655"/>
    <cellStyle name="Normal 100 2" xfId="6410"/>
    <cellStyle name="Normal 101" xfId="4"/>
    <cellStyle name="Normal 101 2" xfId="6411"/>
    <cellStyle name="Normal 102" xfId="656"/>
    <cellStyle name="Normal 103" xfId="5"/>
    <cellStyle name="Normal 104" xfId="657"/>
    <cellStyle name="Normal 105" xfId="6"/>
    <cellStyle name="Normal 106" xfId="658"/>
    <cellStyle name="Normal 107" xfId="7"/>
    <cellStyle name="Normal 108" xfId="659"/>
    <cellStyle name="Normal 109" xfId="132"/>
    <cellStyle name="Normal 11" xfId="1102"/>
    <cellStyle name="Normal 11 10" xfId="1378"/>
    <cellStyle name="Normal 11 10 2" xfId="1749"/>
    <cellStyle name="Normal 11 10 2 2" xfId="2687"/>
    <cellStyle name="Normal 11 10 2 3" xfId="3551"/>
    <cellStyle name="Normal 11 10 2 4" xfId="4423"/>
    <cellStyle name="Normal 11 10 2 5" xfId="5727"/>
    <cellStyle name="Normal 11 10 3" xfId="2036"/>
    <cellStyle name="Normal 11 10 3 2" xfId="2942"/>
    <cellStyle name="Normal 11 10 3 3" xfId="3809"/>
    <cellStyle name="Normal 11 10 3 4" xfId="4687"/>
    <cellStyle name="Normal 11 10 3 5" xfId="5996"/>
    <cellStyle name="Normal 11 10 4" xfId="2436"/>
    <cellStyle name="Normal 11 10 5" xfId="3295"/>
    <cellStyle name="Normal 11 10 6" xfId="4163"/>
    <cellStyle name="Normal 11 10 7" xfId="5449"/>
    <cellStyle name="Normal 11 11" xfId="1383"/>
    <cellStyle name="Normal 11 11 2" xfId="1754"/>
    <cellStyle name="Normal 11 11 2 2" xfId="2691"/>
    <cellStyle name="Normal 11 11 2 3" xfId="3555"/>
    <cellStyle name="Normal 11 11 2 4" xfId="4427"/>
    <cellStyle name="Normal 11 11 2 5" xfId="5731"/>
    <cellStyle name="Normal 11 11 3" xfId="2040"/>
    <cellStyle name="Normal 11 11 3 2" xfId="2946"/>
    <cellStyle name="Normal 11 11 3 3" xfId="3813"/>
    <cellStyle name="Normal 11 11 3 4" xfId="4691"/>
    <cellStyle name="Normal 11 11 3 5" xfId="6000"/>
    <cellStyle name="Normal 11 11 4" xfId="2440"/>
    <cellStyle name="Normal 11 11 5" xfId="3299"/>
    <cellStyle name="Normal 11 11 6" xfId="4167"/>
    <cellStyle name="Normal 11 11 7" xfId="5453"/>
    <cellStyle name="Normal 11 12" xfId="1390"/>
    <cellStyle name="Normal 11 12 2" xfId="1760"/>
    <cellStyle name="Normal 11 12 2 2" xfId="2696"/>
    <cellStyle name="Normal 11 12 2 3" xfId="3560"/>
    <cellStyle name="Normal 11 12 2 4" xfId="4432"/>
    <cellStyle name="Normal 11 12 2 5" xfId="5736"/>
    <cellStyle name="Normal 11 12 3" xfId="2045"/>
    <cellStyle name="Normal 11 12 3 2" xfId="2951"/>
    <cellStyle name="Normal 11 12 3 3" xfId="3818"/>
    <cellStyle name="Normal 11 12 3 4" xfId="4696"/>
    <cellStyle name="Normal 11 12 3 5" xfId="6005"/>
    <cellStyle name="Normal 11 12 4" xfId="2445"/>
    <cellStyle name="Normal 11 12 5" xfId="3304"/>
    <cellStyle name="Normal 11 12 6" xfId="4172"/>
    <cellStyle name="Normal 11 12 7" xfId="5458"/>
    <cellStyle name="Normal 11 13" xfId="1403"/>
    <cellStyle name="Normal 11 13 2" xfId="1771"/>
    <cellStyle name="Normal 11 13 2 2" xfId="2700"/>
    <cellStyle name="Normal 11 13 2 3" xfId="3564"/>
    <cellStyle name="Normal 11 13 2 4" xfId="4436"/>
    <cellStyle name="Normal 11 13 2 5" xfId="5741"/>
    <cellStyle name="Normal 11 13 3" xfId="2049"/>
    <cellStyle name="Normal 11 13 3 2" xfId="2955"/>
    <cellStyle name="Normal 11 13 3 3" xfId="3822"/>
    <cellStyle name="Normal 11 13 3 4" xfId="4700"/>
    <cellStyle name="Normal 11 13 3 5" xfId="6009"/>
    <cellStyle name="Normal 11 13 4" xfId="2449"/>
    <cellStyle name="Normal 11 13 5" xfId="3308"/>
    <cellStyle name="Normal 11 13 6" xfId="4176"/>
    <cellStyle name="Normal 11 13 7" xfId="5463"/>
    <cellStyle name="Normal 11 14" xfId="1410"/>
    <cellStyle name="Normal 11 14 2" xfId="1776"/>
    <cellStyle name="Normal 11 14 2 2" xfId="2704"/>
    <cellStyle name="Normal 11 14 2 3" xfId="3568"/>
    <cellStyle name="Normal 11 14 2 4" xfId="4440"/>
    <cellStyle name="Normal 11 14 2 5" xfId="5745"/>
    <cellStyle name="Normal 11 14 3" xfId="2053"/>
    <cellStyle name="Normal 11 14 3 2" xfId="2959"/>
    <cellStyle name="Normal 11 14 3 3" xfId="3826"/>
    <cellStyle name="Normal 11 14 3 4" xfId="4704"/>
    <cellStyle name="Normal 11 14 3 5" xfId="6013"/>
    <cellStyle name="Normal 11 14 4" xfId="2453"/>
    <cellStyle name="Normal 11 14 5" xfId="3312"/>
    <cellStyle name="Normal 11 14 6" xfId="4180"/>
    <cellStyle name="Normal 11 14 7" xfId="5467"/>
    <cellStyle name="Normal 11 15" xfId="1415"/>
    <cellStyle name="Normal 11 15 2" xfId="1781"/>
    <cellStyle name="Normal 11 15 2 2" xfId="2708"/>
    <cellStyle name="Normal 11 15 2 3" xfId="3572"/>
    <cellStyle name="Normal 11 15 2 4" xfId="4444"/>
    <cellStyle name="Normal 11 15 2 5" xfId="5749"/>
    <cellStyle name="Normal 11 15 3" xfId="2057"/>
    <cellStyle name="Normal 11 15 3 2" xfId="2963"/>
    <cellStyle name="Normal 11 15 3 3" xfId="3830"/>
    <cellStyle name="Normal 11 15 3 4" xfId="4708"/>
    <cellStyle name="Normal 11 15 3 5" xfId="6017"/>
    <cellStyle name="Normal 11 15 4" xfId="2457"/>
    <cellStyle name="Normal 11 15 5" xfId="3316"/>
    <cellStyle name="Normal 11 15 6" xfId="4184"/>
    <cellStyle name="Normal 11 15 7" xfId="5471"/>
    <cellStyle name="Normal 11 16" xfId="1419"/>
    <cellStyle name="Normal 11 16 2" xfId="1785"/>
    <cellStyle name="Normal 11 16 2 2" xfId="2712"/>
    <cellStyle name="Normal 11 16 2 3" xfId="3576"/>
    <cellStyle name="Normal 11 16 2 4" xfId="4448"/>
    <cellStyle name="Normal 11 16 2 5" xfId="5753"/>
    <cellStyle name="Normal 11 16 3" xfId="2061"/>
    <cellStyle name="Normal 11 16 3 2" xfId="2967"/>
    <cellStyle name="Normal 11 16 3 3" xfId="3834"/>
    <cellStyle name="Normal 11 16 3 4" xfId="4712"/>
    <cellStyle name="Normal 11 16 3 5" xfId="6021"/>
    <cellStyle name="Normal 11 16 4" xfId="2461"/>
    <cellStyle name="Normal 11 16 5" xfId="3320"/>
    <cellStyle name="Normal 11 16 6" xfId="4188"/>
    <cellStyle name="Normal 11 16 7" xfId="5475"/>
    <cellStyle name="Normal 11 17" xfId="1429"/>
    <cellStyle name="Normal 11 17 2" xfId="1793"/>
    <cellStyle name="Normal 11 17 2 2" xfId="2720"/>
    <cellStyle name="Normal 11 17 2 3" xfId="3584"/>
    <cellStyle name="Normal 11 17 2 4" xfId="4456"/>
    <cellStyle name="Normal 11 17 2 5" xfId="5761"/>
    <cellStyle name="Normal 11 17 3" xfId="2069"/>
    <cellStyle name="Normal 11 17 3 2" xfId="2975"/>
    <cellStyle name="Normal 11 17 3 3" xfId="3842"/>
    <cellStyle name="Normal 11 17 3 4" xfId="4720"/>
    <cellStyle name="Normal 11 17 3 5" xfId="6029"/>
    <cellStyle name="Normal 11 17 4" xfId="2469"/>
    <cellStyle name="Normal 11 17 5" xfId="3328"/>
    <cellStyle name="Normal 11 17 6" xfId="4196"/>
    <cellStyle name="Normal 11 17 7" xfId="5484"/>
    <cellStyle name="Normal 11 18" xfId="1435"/>
    <cellStyle name="Normal 11 18 2" xfId="1799"/>
    <cellStyle name="Normal 11 18 2 2" xfId="2725"/>
    <cellStyle name="Normal 11 18 2 3" xfId="3589"/>
    <cellStyle name="Normal 11 18 2 4" xfId="4461"/>
    <cellStyle name="Normal 11 18 2 5" xfId="5766"/>
    <cellStyle name="Normal 11 18 3" xfId="2074"/>
    <cellStyle name="Normal 11 18 3 2" xfId="2980"/>
    <cellStyle name="Normal 11 18 3 3" xfId="3847"/>
    <cellStyle name="Normal 11 18 3 4" xfId="4725"/>
    <cellStyle name="Normal 11 18 3 5" xfId="6034"/>
    <cellStyle name="Normal 11 18 4" xfId="2474"/>
    <cellStyle name="Normal 11 18 5" xfId="3333"/>
    <cellStyle name="Normal 11 18 6" xfId="4201"/>
    <cellStyle name="Normal 11 18 7" xfId="5489"/>
    <cellStyle name="Normal 11 19" xfId="1663"/>
    <cellStyle name="Normal 11 19 2" xfId="1968"/>
    <cellStyle name="Normal 11 19 2 2" xfId="2893"/>
    <cellStyle name="Normal 11 19 2 3" xfId="3757"/>
    <cellStyle name="Normal 11 19 2 4" xfId="4632"/>
    <cellStyle name="Normal 11 19 2 5" xfId="5937"/>
    <cellStyle name="Normal 11 19 3" xfId="2242"/>
    <cellStyle name="Normal 11 19 3 2" xfId="3148"/>
    <cellStyle name="Normal 11 19 3 3" xfId="4018"/>
    <cellStyle name="Normal 11 19 3 4" xfId="4896"/>
    <cellStyle name="Normal 11 19 3 5" xfId="6205"/>
    <cellStyle name="Normal 11 19 4" xfId="2643"/>
    <cellStyle name="Normal 11 19 5" xfId="3506"/>
    <cellStyle name="Normal 11 19 6" xfId="4374"/>
    <cellStyle name="Normal 11 19 7" xfId="5670"/>
    <cellStyle name="Normal 11 2" xfId="1277"/>
    <cellStyle name="Normal 11 2 10" xfId="5123"/>
    <cellStyle name="Normal 11 2 11" xfId="5400"/>
    <cellStyle name="Normal 11 2 2" xfId="1511"/>
    <cellStyle name="Normal 11 2 2 10" xfId="5557"/>
    <cellStyle name="Normal 11 2 2 2" xfId="1512"/>
    <cellStyle name="Normal 11 2 2 2 2" xfId="1861"/>
    <cellStyle name="Normal 11 2 2 2 2 2" xfId="2787"/>
    <cellStyle name="Normal 11 2 2 2 2 3" xfId="3651"/>
    <cellStyle name="Normal 11 2 2 2 2 4" xfId="4526"/>
    <cellStyle name="Normal 11 2 2 2 2 5" xfId="5126"/>
    <cellStyle name="Normal 11 2 2 2 2 6" xfId="5831"/>
    <cellStyle name="Normal 11 2 2 2 2_Monthly Price Data Petroleum" xfId="5423"/>
    <cellStyle name="Normal 11 2 2 2 3" xfId="2136"/>
    <cellStyle name="Normal 11 2 2 2 3 2" xfId="3042"/>
    <cellStyle name="Normal 11 2 2 2 3 3" xfId="3912"/>
    <cellStyle name="Normal 11 2 2 2 3 4" xfId="4790"/>
    <cellStyle name="Normal 11 2 2 2 3 5" xfId="6099"/>
    <cellStyle name="Normal 11 2 2 2 4" xfId="2537"/>
    <cellStyle name="Normal 11 2 2 2 5" xfId="3400"/>
    <cellStyle name="Normal 11 2 2 2 6" xfId="4268"/>
    <cellStyle name="Normal 11 2 2 2 7" xfId="5125"/>
    <cellStyle name="Normal 11 2 2 2 8" xfId="5558"/>
    <cellStyle name="Normal 11 2 2 2_Monthly Price Data Petroleum" xfId="5387"/>
    <cellStyle name="Normal 11 2 2 3" xfId="1860"/>
    <cellStyle name="Normal 11 2 2 3 2" xfId="2786"/>
    <cellStyle name="Normal 11 2 2 3 3" xfId="3650"/>
    <cellStyle name="Normal 11 2 2 3 4" xfId="4525"/>
    <cellStyle name="Normal 11 2 2 3 5" xfId="5127"/>
    <cellStyle name="Normal 11 2 2 3 6" xfId="5830"/>
    <cellStyle name="Normal 11 2 2 3_Monthly Price Data Petroleum" xfId="5682"/>
    <cellStyle name="Normal 11 2 2 4" xfId="2135"/>
    <cellStyle name="Normal 11 2 2 4 2" xfId="3041"/>
    <cellStyle name="Normal 11 2 2 4 3" xfId="3911"/>
    <cellStyle name="Normal 11 2 2 4 4" xfId="4789"/>
    <cellStyle name="Normal 11 2 2 4 5" xfId="6098"/>
    <cellStyle name="Normal 11 2 2 5" xfId="2386"/>
    <cellStyle name="Normal 11 2 2 5 2" xfId="3245"/>
    <cellStyle name="Normal 11 2 2 5 3" xfId="4111"/>
    <cellStyle name="Normal 11 2 2 5 4" xfId="4990"/>
    <cellStyle name="Normal 11 2 2 5 5" xfId="6300"/>
    <cellStyle name="Normal 11 2 2 6" xfId="2536"/>
    <cellStyle name="Normal 11 2 2 7" xfId="3399"/>
    <cellStyle name="Normal 11 2 2 8" xfId="4267"/>
    <cellStyle name="Normal 11 2 2 9" xfId="5124"/>
    <cellStyle name="Normal 11 2 2_Monthly Price Data" xfId="2309"/>
    <cellStyle name="Normal 11 2 3" xfId="1513"/>
    <cellStyle name="Normal 11 2 3 2" xfId="1862"/>
    <cellStyle name="Normal 11 2 3 2 2" xfId="2788"/>
    <cellStyle name="Normal 11 2 3 2 3" xfId="3652"/>
    <cellStyle name="Normal 11 2 3 2 4" xfId="4527"/>
    <cellStyle name="Normal 11 2 3 2 5" xfId="5129"/>
    <cellStyle name="Normal 11 2 3 2 6" xfId="5832"/>
    <cellStyle name="Normal 11 2 3 2_Monthly Price Data Petroleum" xfId="6373"/>
    <cellStyle name="Normal 11 2 3 3" xfId="2137"/>
    <cellStyle name="Normal 11 2 3 3 2" xfId="3043"/>
    <cellStyle name="Normal 11 2 3 3 3" xfId="3913"/>
    <cellStyle name="Normal 11 2 3 3 4" xfId="4791"/>
    <cellStyle name="Normal 11 2 3 3 5" xfId="6100"/>
    <cellStyle name="Normal 11 2 3 4" xfId="2538"/>
    <cellStyle name="Normal 11 2 3 5" xfId="3401"/>
    <cellStyle name="Normal 11 2 3 6" xfId="4269"/>
    <cellStyle name="Normal 11 2 3 7" xfId="5128"/>
    <cellStyle name="Normal 11 2 3 8" xfId="5559"/>
    <cellStyle name="Normal 11 2 3_Monthly Price Data Petroleum" xfId="5434"/>
    <cellStyle name="Normal 11 2 4" xfId="1686"/>
    <cellStyle name="Normal 11 2 4 2" xfId="2654"/>
    <cellStyle name="Normal 11 2 4 3" xfId="3517"/>
    <cellStyle name="Normal 11 2 4 4" xfId="4388"/>
    <cellStyle name="Normal 11 2 4 5" xfId="5130"/>
    <cellStyle name="Normal 11 2 4 6" xfId="5688"/>
    <cellStyle name="Normal 11 2 4_Monthly Price Data Petroleum" xfId="5422"/>
    <cellStyle name="Normal 11 2 5" xfId="2003"/>
    <cellStyle name="Normal 11 2 5 2" xfId="2909"/>
    <cellStyle name="Normal 11 2 5 3" xfId="3775"/>
    <cellStyle name="Normal 11 2 5 4" xfId="4652"/>
    <cellStyle name="Normal 11 2 5 5" xfId="5961"/>
    <cellStyle name="Normal 11 2 6" xfId="2342"/>
    <cellStyle name="Normal 11 2 6 2" xfId="3201"/>
    <cellStyle name="Normal 11 2 6 3" xfId="4067"/>
    <cellStyle name="Normal 11 2 6 4" xfId="4946"/>
    <cellStyle name="Normal 11 2 6 5" xfId="6256"/>
    <cellStyle name="Normal 11 2 7" xfId="2403"/>
    <cellStyle name="Normal 11 2 8" xfId="3262"/>
    <cellStyle name="Normal 11 2 9" xfId="4128"/>
    <cellStyle name="Normal 11 2_Monthly Price Data" xfId="2310"/>
    <cellStyle name="Normal 11 20" xfId="1682"/>
    <cellStyle name="Normal 11 20 2" xfId="2000"/>
    <cellStyle name="Normal 11 20 2 2" xfId="2906"/>
    <cellStyle name="Normal 11 20 2 3" xfId="3772"/>
    <cellStyle name="Normal 11 20 2 4" xfId="4649"/>
    <cellStyle name="Normal 11 20 2 5" xfId="5958"/>
    <cellStyle name="Normal 11 20 3" xfId="2651"/>
    <cellStyle name="Normal 11 20 4" xfId="3514"/>
    <cellStyle name="Normal 11 20 5" xfId="4385"/>
    <cellStyle name="Normal 11 20 6" xfId="5685"/>
    <cellStyle name="Normal 11 21" xfId="2254"/>
    <cellStyle name="Normal 11 21 2" xfId="3159"/>
    <cellStyle name="Normal 11 21 3" xfId="4028"/>
    <cellStyle name="Normal 11 21 4" xfId="4907"/>
    <cellStyle name="Normal 11 21 5" xfId="6216"/>
    <cellStyle name="Normal 11 22" xfId="2286"/>
    <cellStyle name="Normal 11 22 2" xfId="3168"/>
    <cellStyle name="Normal 11 22 3" xfId="4036"/>
    <cellStyle name="Normal 11 22 4" xfId="4915"/>
    <cellStyle name="Normal 11 22 5" xfId="6225"/>
    <cellStyle name="Normal 11 23" xfId="2400"/>
    <cellStyle name="Normal 11 24" xfId="3259"/>
    <cellStyle name="Normal 11 25" xfId="4125"/>
    <cellStyle name="Normal 11 26" xfId="5122"/>
    <cellStyle name="Normal 11 27" xfId="5397"/>
    <cellStyle name="Normal 11 28" xfId="1273"/>
    <cellStyle name="Normal 11 3" xfId="1289"/>
    <cellStyle name="Normal 11 3 10" xfId="5406"/>
    <cellStyle name="Normal 11 3 2" xfId="1514"/>
    <cellStyle name="Normal 11 3 2 2" xfId="1863"/>
    <cellStyle name="Normal 11 3 2 2 2" xfId="2789"/>
    <cellStyle name="Normal 11 3 2 2 3" xfId="3653"/>
    <cellStyle name="Normal 11 3 2 2 4" xfId="4528"/>
    <cellStyle name="Normal 11 3 2 2 5" xfId="5133"/>
    <cellStyle name="Normal 11 3 2 2 6" xfId="5833"/>
    <cellStyle name="Normal 11 3 2 2_Monthly Price Data Petroleum" xfId="6312"/>
    <cellStyle name="Normal 11 3 2 3" xfId="2138"/>
    <cellStyle name="Normal 11 3 2 3 2" xfId="3044"/>
    <cellStyle name="Normal 11 3 2 3 3" xfId="3914"/>
    <cellStyle name="Normal 11 3 2 3 4" xfId="4792"/>
    <cellStyle name="Normal 11 3 2 3 5" xfId="6101"/>
    <cellStyle name="Normal 11 3 2 4" xfId="2539"/>
    <cellStyle name="Normal 11 3 2 5" xfId="3402"/>
    <cellStyle name="Normal 11 3 2 6" xfId="4270"/>
    <cellStyle name="Normal 11 3 2 7" xfId="5132"/>
    <cellStyle name="Normal 11 3 2 8" xfId="5560"/>
    <cellStyle name="Normal 11 3 2_Monthly Price Data Petroleum" xfId="5444"/>
    <cellStyle name="Normal 11 3 3" xfId="1696"/>
    <cellStyle name="Normal 11 3 3 2" xfId="2658"/>
    <cellStyle name="Normal 11 3 3 3" xfId="3521"/>
    <cellStyle name="Normal 11 3 3 4" xfId="4392"/>
    <cellStyle name="Normal 11 3 3 5" xfId="5134"/>
    <cellStyle name="Normal 11 3 3 6" xfId="5693"/>
    <cellStyle name="Normal 11 3 3_Monthly Price Data Petroleum" xfId="6390"/>
    <cellStyle name="Normal 11 3 4" xfId="2007"/>
    <cellStyle name="Normal 11 3 4 2" xfId="2913"/>
    <cellStyle name="Normal 11 3 4 3" xfId="3779"/>
    <cellStyle name="Normal 11 3 4 4" xfId="4656"/>
    <cellStyle name="Normal 11 3 4 5" xfId="5965"/>
    <cellStyle name="Normal 11 3 5" xfId="2364"/>
    <cellStyle name="Normal 11 3 5 2" xfId="3223"/>
    <cellStyle name="Normal 11 3 5 3" xfId="4089"/>
    <cellStyle name="Normal 11 3 5 4" xfId="4968"/>
    <cellStyle name="Normal 11 3 5 5" xfId="6278"/>
    <cellStyle name="Normal 11 3 6" xfId="2407"/>
    <cellStyle name="Normal 11 3 7" xfId="3266"/>
    <cellStyle name="Normal 11 3 8" xfId="4132"/>
    <cellStyle name="Normal 11 3 9" xfId="5131"/>
    <cellStyle name="Normal 11 3_Monthly Price Data" xfId="2308"/>
    <cellStyle name="Normal 11 4" xfId="1296"/>
    <cellStyle name="Normal 11 4 2" xfId="1703"/>
    <cellStyle name="Normal 11 4 2 2" xfId="2662"/>
    <cellStyle name="Normal 11 4 2 3" xfId="3525"/>
    <cellStyle name="Normal 11 4 2 4" xfId="4396"/>
    <cellStyle name="Normal 11 4 2 5" xfId="5136"/>
    <cellStyle name="Normal 11 4 2 6" xfId="5698"/>
    <cellStyle name="Normal 11 4 2_Monthly Price Data Petroleum" xfId="6388"/>
    <cellStyle name="Normal 11 4 3" xfId="2011"/>
    <cellStyle name="Normal 11 4 3 2" xfId="2917"/>
    <cellStyle name="Normal 11 4 3 3" xfId="3783"/>
    <cellStyle name="Normal 11 4 3 4" xfId="4660"/>
    <cellStyle name="Normal 11 4 3 5" xfId="5969"/>
    <cellStyle name="Normal 11 4 4" xfId="2411"/>
    <cellStyle name="Normal 11 4 5" xfId="3270"/>
    <cellStyle name="Normal 11 4 6" xfId="4136"/>
    <cellStyle name="Normal 11 4 7" xfId="5135"/>
    <cellStyle name="Normal 11 4 8" xfId="5410"/>
    <cellStyle name="Normal 11 4_Monthly Price Data Petroleum" xfId="6321"/>
    <cellStyle name="Normal 11 5" xfId="1305"/>
    <cellStyle name="Normal 11 5 2" xfId="1711"/>
    <cellStyle name="Normal 11 5 2 2" xfId="2666"/>
    <cellStyle name="Normal 11 5 2 3" xfId="3529"/>
    <cellStyle name="Normal 11 5 2 4" xfId="4400"/>
    <cellStyle name="Normal 11 5 2 5" xfId="5702"/>
    <cellStyle name="Normal 11 5 3" xfId="2015"/>
    <cellStyle name="Normal 11 5 3 2" xfId="2921"/>
    <cellStyle name="Normal 11 5 3 3" xfId="3787"/>
    <cellStyle name="Normal 11 5 3 4" xfId="4664"/>
    <cellStyle name="Normal 11 5 3 5" xfId="5973"/>
    <cellStyle name="Normal 11 5 4" xfId="2415"/>
    <cellStyle name="Normal 11 5 5" xfId="3274"/>
    <cellStyle name="Normal 11 5 6" xfId="4140"/>
    <cellStyle name="Normal 11 5 7" xfId="5137"/>
    <cellStyle name="Normal 11 5 8" xfId="5414"/>
    <cellStyle name="Normal 11 5_Monthly Price Data Petroleum" xfId="5404"/>
    <cellStyle name="Normal 11 6" xfId="1319"/>
    <cellStyle name="Normal 11 7" xfId="1349"/>
    <cellStyle name="Normal 11 7 2" xfId="1720"/>
    <cellStyle name="Normal 11 7 2 2" xfId="2670"/>
    <cellStyle name="Normal 11 7 2 3" xfId="3533"/>
    <cellStyle name="Normal 11 7 2 4" xfId="4405"/>
    <cellStyle name="Normal 11 7 2 5" xfId="5708"/>
    <cellStyle name="Normal 11 7 3" xfId="2019"/>
    <cellStyle name="Normal 11 7 3 2" xfId="2925"/>
    <cellStyle name="Normal 11 7 3 3" xfId="3791"/>
    <cellStyle name="Normal 11 7 3 4" xfId="4669"/>
    <cellStyle name="Normal 11 7 3 5" xfId="5978"/>
    <cellStyle name="Normal 11 7 4" xfId="2419"/>
    <cellStyle name="Normal 11 7 5" xfId="3278"/>
    <cellStyle name="Normal 11 7 6" xfId="4144"/>
    <cellStyle name="Normal 11 7 7" xfId="5426"/>
    <cellStyle name="Normal 11 8" xfId="1355"/>
    <cellStyle name="Normal 11 8 2" xfId="1726"/>
    <cellStyle name="Normal 11 8 2 2" xfId="2674"/>
    <cellStyle name="Normal 11 8 2 3" xfId="3538"/>
    <cellStyle name="Normal 11 8 2 4" xfId="4410"/>
    <cellStyle name="Normal 11 8 2 5" xfId="5713"/>
    <cellStyle name="Normal 11 8 3" xfId="2023"/>
    <cellStyle name="Normal 11 8 3 2" xfId="2929"/>
    <cellStyle name="Normal 11 8 3 3" xfId="3796"/>
    <cellStyle name="Normal 11 8 3 4" xfId="4674"/>
    <cellStyle name="Normal 11 8 3 5" xfId="5983"/>
    <cellStyle name="Normal 11 8 4" xfId="2423"/>
    <cellStyle name="Normal 11 8 5" xfId="3282"/>
    <cellStyle name="Normal 11 8 6" xfId="4150"/>
    <cellStyle name="Normal 11 8 7" xfId="5432"/>
    <cellStyle name="Normal 11 9" xfId="1370"/>
    <cellStyle name="Normal 11 9 2" xfId="1741"/>
    <cellStyle name="Normal 11 9 2 2" xfId="2681"/>
    <cellStyle name="Normal 11 9 2 3" xfId="3545"/>
    <cellStyle name="Normal 11 9 2 4" xfId="4417"/>
    <cellStyle name="Normal 11 9 2 5" xfId="5721"/>
    <cellStyle name="Normal 11 9 3" xfId="2030"/>
    <cellStyle name="Normal 11 9 3 2" xfId="2936"/>
    <cellStyle name="Normal 11 9 3 3" xfId="3803"/>
    <cellStyle name="Normal 11 9 3 4" xfId="4681"/>
    <cellStyle name="Normal 11 9 3 5" xfId="5990"/>
    <cellStyle name="Normal 11 9 4" xfId="2430"/>
    <cellStyle name="Normal 11 9 5" xfId="3289"/>
    <cellStyle name="Normal 11 9 6" xfId="4157"/>
    <cellStyle name="Normal 11 9 7" xfId="5442"/>
    <cellStyle name="Normal 11_2015  Data" xfId="5138"/>
    <cellStyle name="Normal 110" xfId="779"/>
    <cellStyle name="Normal 111" xfId="780"/>
    <cellStyle name="Normal 112" xfId="133"/>
    <cellStyle name="Normal 113" xfId="781"/>
    <cellStyle name="Normal 114" xfId="782"/>
    <cellStyle name="Normal 115" xfId="783"/>
    <cellStyle name="Normal 116" xfId="134"/>
    <cellStyle name="Normal 117" xfId="784"/>
    <cellStyle name="Normal 118" xfId="785"/>
    <cellStyle name="Normal 119" xfId="786"/>
    <cellStyle name="Normal 12" xfId="1103"/>
    <cellStyle name="Normal 12 10" xfId="1379"/>
    <cellStyle name="Normal 12 10 2" xfId="1750"/>
    <cellStyle name="Normal 12 10 2 2" xfId="2688"/>
    <cellStyle name="Normal 12 10 2 3" xfId="3552"/>
    <cellStyle name="Normal 12 10 2 4" xfId="4424"/>
    <cellStyle name="Normal 12 10 2 5" xfId="5728"/>
    <cellStyle name="Normal 12 10 3" xfId="2037"/>
    <cellStyle name="Normal 12 10 3 2" xfId="2943"/>
    <cellStyle name="Normal 12 10 3 3" xfId="3810"/>
    <cellStyle name="Normal 12 10 3 4" xfId="4688"/>
    <cellStyle name="Normal 12 10 3 5" xfId="5997"/>
    <cellStyle name="Normal 12 10 4" xfId="2437"/>
    <cellStyle name="Normal 12 10 5" xfId="3296"/>
    <cellStyle name="Normal 12 10 6" xfId="4164"/>
    <cellStyle name="Normal 12 10 7" xfId="5450"/>
    <cellStyle name="Normal 12 11" xfId="1384"/>
    <cellStyle name="Normal 12 11 2" xfId="1755"/>
    <cellStyle name="Normal 12 11 2 2" xfId="2692"/>
    <cellStyle name="Normal 12 11 2 3" xfId="3556"/>
    <cellStyle name="Normal 12 11 2 4" xfId="4428"/>
    <cellStyle name="Normal 12 11 2 5" xfId="5732"/>
    <cellStyle name="Normal 12 11 3" xfId="2041"/>
    <cellStyle name="Normal 12 11 3 2" xfId="2947"/>
    <cellStyle name="Normal 12 11 3 3" xfId="3814"/>
    <cellStyle name="Normal 12 11 3 4" xfId="4692"/>
    <cellStyle name="Normal 12 11 3 5" xfId="6001"/>
    <cellStyle name="Normal 12 11 4" xfId="2441"/>
    <cellStyle name="Normal 12 11 5" xfId="3300"/>
    <cellStyle name="Normal 12 11 6" xfId="4168"/>
    <cellStyle name="Normal 12 11 7" xfId="5454"/>
    <cellStyle name="Normal 12 12" xfId="1391"/>
    <cellStyle name="Normal 12 12 2" xfId="1761"/>
    <cellStyle name="Normal 12 12 2 2" xfId="2697"/>
    <cellStyle name="Normal 12 12 2 3" xfId="3561"/>
    <cellStyle name="Normal 12 12 2 4" xfId="4433"/>
    <cellStyle name="Normal 12 12 2 5" xfId="5737"/>
    <cellStyle name="Normal 12 12 3" xfId="2046"/>
    <cellStyle name="Normal 12 12 3 2" xfId="2952"/>
    <cellStyle name="Normal 12 12 3 3" xfId="3819"/>
    <cellStyle name="Normal 12 12 3 4" xfId="4697"/>
    <cellStyle name="Normal 12 12 3 5" xfId="6006"/>
    <cellStyle name="Normal 12 12 4" xfId="2446"/>
    <cellStyle name="Normal 12 12 5" xfId="3305"/>
    <cellStyle name="Normal 12 12 6" xfId="4173"/>
    <cellStyle name="Normal 12 12 7" xfId="5459"/>
    <cellStyle name="Normal 12 13" xfId="1404"/>
    <cellStyle name="Normal 12 13 2" xfId="1772"/>
    <cellStyle name="Normal 12 13 2 2" xfId="2701"/>
    <cellStyle name="Normal 12 13 2 3" xfId="3565"/>
    <cellStyle name="Normal 12 13 2 4" xfId="4437"/>
    <cellStyle name="Normal 12 13 2 5" xfId="5742"/>
    <cellStyle name="Normal 12 13 3" xfId="2050"/>
    <cellStyle name="Normal 12 13 3 2" xfId="2956"/>
    <cellStyle name="Normal 12 13 3 3" xfId="3823"/>
    <cellStyle name="Normal 12 13 3 4" xfId="4701"/>
    <cellStyle name="Normal 12 13 3 5" xfId="6010"/>
    <cellStyle name="Normal 12 13 4" xfId="2450"/>
    <cellStyle name="Normal 12 13 5" xfId="3309"/>
    <cellStyle name="Normal 12 13 6" xfId="4177"/>
    <cellStyle name="Normal 12 13 7" xfId="5464"/>
    <cellStyle name="Normal 12 14" xfId="1411"/>
    <cellStyle name="Normal 12 14 2" xfId="1777"/>
    <cellStyle name="Normal 12 14 2 2" xfId="2705"/>
    <cellStyle name="Normal 12 14 2 3" xfId="3569"/>
    <cellStyle name="Normal 12 14 2 4" xfId="4441"/>
    <cellStyle name="Normal 12 14 2 5" xfId="5746"/>
    <cellStyle name="Normal 12 14 3" xfId="2054"/>
    <cellStyle name="Normal 12 14 3 2" xfId="2960"/>
    <cellStyle name="Normal 12 14 3 3" xfId="3827"/>
    <cellStyle name="Normal 12 14 3 4" xfId="4705"/>
    <cellStyle name="Normal 12 14 3 5" xfId="6014"/>
    <cellStyle name="Normal 12 14 4" xfId="2454"/>
    <cellStyle name="Normal 12 14 5" xfId="3313"/>
    <cellStyle name="Normal 12 14 6" xfId="4181"/>
    <cellStyle name="Normal 12 14 7" xfId="5468"/>
    <cellStyle name="Normal 12 15" xfId="1416"/>
    <cellStyle name="Normal 12 15 2" xfId="1782"/>
    <cellStyle name="Normal 12 15 2 2" xfId="2709"/>
    <cellStyle name="Normal 12 15 2 3" xfId="3573"/>
    <cellStyle name="Normal 12 15 2 4" xfId="4445"/>
    <cellStyle name="Normal 12 15 2 5" xfId="5750"/>
    <cellStyle name="Normal 12 15 3" xfId="2058"/>
    <cellStyle name="Normal 12 15 3 2" xfId="2964"/>
    <cellStyle name="Normal 12 15 3 3" xfId="3831"/>
    <cellStyle name="Normal 12 15 3 4" xfId="4709"/>
    <cellStyle name="Normal 12 15 3 5" xfId="6018"/>
    <cellStyle name="Normal 12 15 4" xfId="2458"/>
    <cellStyle name="Normal 12 15 5" xfId="3317"/>
    <cellStyle name="Normal 12 15 6" xfId="4185"/>
    <cellStyle name="Normal 12 15 7" xfId="5472"/>
    <cellStyle name="Normal 12 16" xfId="1420"/>
    <cellStyle name="Normal 12 16 2" xfId="1786"/>
    <cellStyle name="Normal 12 16 2 2" xfId="2713"/>
    <cellStyle name="Normal 12 16 2 3" xfId="3577"/>
    <cellStyle name="Normal 12 16 2 4" xfId="4449"/>
    <cellStyle name="Normal 12 16 2 5" xfId="5754"/>
    <cellStyle name="Normal 12 16 3" xfId="2062"/>
    <cellStyle name="Normal 12 16 3 2" xfId="2968"/>
    <cellStyle name="Normal 12 16 3 3" xfId="3835"/>
    <cellStyle name="Normal 12 16 3 4" xfId="4713"/>
    <cellStyle name="Normal 12 16 3 5" xfId="6022"/>
    <cellStyle name="Normal 12 16 4" xfId="2462"/>
    <cellStyle name="Normal 12 16 5" xfId="3321"/>
    <cellStyle name="Normal 12 16 6" xfId="4189"/>
    <cellStyle name="Normal 12 16 7" xfId="5476"/>
    <cellStyle name="Normal 12 17" xfId="1430"/>
    <cellStyle name="Normal 12 17 2" xfId="1794"/>
    <cellStyle name="Normal 12 17 2 2" xfId="2721"/>
    <cellStyle name="Normal 12 17 2 3" xfId="3585"/>
    <cellStyle name="Normal 12 17 2 4" xfId="4457"/>
    <cellStyle name="Normal 12 17 2 5" xfId="5762"/>
    <cellStyle name="Normal 12 17 3" xfId="2070"/>
    <cellStyle name="Normal 12 17 3 2" xfId="2976"/>
    <cellStyle name="Normal 12 17 3 3" xfId="3843"/>
    <cellStyle name="Normal 12 17 3 4" xfId="4721"/>
    <cellStyle name="Normal 12 17 3 5" xfId="6030"/>
    <cellStyle name="Normal 12 17 4" xfId="2470"/>
    <cellStyle name="Normal 12 17 5" xfId="3329"/>
    <cellStyle name="Normal 12 17 6" xfId="4197"/>
    <cellStyle name="Normal 12 17 7" xfId="5485"/>
    <cellStyle name="Normal 12 18" xfId="1436"/>
    <cellStyle name="Normal 12 18 2" xfId="1800"/>
    <cellStyle name="Normal 12 18 2 2" xfId="2726"/>
    <cellStyle name="Normal 12 18 2 3" xfId="3590"/>
    <cellStyle name="Normal 12 18 2 4" xfId="4462"/>
    <cellStyle name="Normal 12 18 2 5" xfId="5767"/>
    <cellStyle name="Normal 12 18 3" xfId="2075"/>
    <cellStyle name="Normal 12 18 3 2" xfId="2981"/>
    <cellStyle name="Normal 12 18 3 3" xfId="3848"/>
    <cellStyle name="Normal 12 18 3 4" xfId="4726"/>
    <cellStyle name="Normal 12 18 3 5" xfId="6035"/>
    <cellStyle name="Normal 12 18 4" xfId="2475"/>
    <cellStyle name="Normal 12 18 5" xfId="3334"/>
    <cellStyle name="Normal 12 18 6" xfId="4202"/>
    <cellStyle name="Normal 12 18 7" xfId="5490"/>
    <cellStyle name="Normal 12 19" xfId="1664"/>
    <cellStyle name="Normal 12 19 2" xfId="1969"/>
    <cellStyle name="Normal 12 19 2 2" xfId="2894"/>
    <cellStyle name="Normal 12 19 2 3" xfId="3758"/>
    <cellStyle name="Normal 12 19 2 4" xfId="4633"/>
    <cellStyle name="Normal 12 19 2 5" xfId="5938"/>
    <cellStyle name="Normal 12 19 3" xfId="2243"/>
    <cellStyle name="Normal 12 19 3 2" xfId="3149"/>
    <cellStyle name="Normal 12 19 3 3" xfId="4019"/>
    <cellStyle name="Normal 12 19 3 4" xfId="4897"/>
    <cellStyle name="Normal 12 19 3 5" xfId="6206"/>
    <cellStyle name="Normal 12 19 4" xfId="2644"/>
    <cellStyle name="Normal 12 19 5" xfId="3507"/>
    <cellStyle name="Normal 12 19 6" xfId="4375"/>
    <cellStyle name="Normal 12 19 7" xfId="5671"/>
    <cellStyle name="Normal 12 2" xfId="1278"/>
    <cellStyle name="Normal 12 2 10" xfId="5140"/>
    <cellStyle name="Normal 12 2 11" xfId="5401"/>
    <cellStyle name="Normal 12 2 2" xfId="1515"/>
    <cellStyle name="Normal 12 2 2 10" xfId="5561"/>
    <cellStyle name="Normal 12 2 2 2" xfId="1516"/>
    <cellStyle name="Normal 12 2 2 2 2" xfId="1865"/>
    <cellStyle name="Normal 12 2 2 2 2 2" xfId="2791"/>
    <cellStyle name="Normal 12 2 2 2 2 3" xfId="3655"/>
    <cellStyle name="Normal 12 2 2 2 2 4" xfId="4530"/>
    <cellStyle name="Normal 12 2 2 2 2 5" xfId="5143"/>
    <cellStyle name="Normal 12 2 2 2 2 6" xfId="5835"/>
    <cellStyle name="Normal 12 2 2 2 2_Monthly Price Data Petroleum" xfId="5389"/>
    <cellStyle name="Normal 12 2 2 2 3" xfId="2140"/>
    <cellStyle name="Normal 12 2 2 2 3 2" xfId="3046"/>
    <cellStyle name="Normal 12 2 2 2 3 3" xfId="3916"/>
    <cellStyle name="Normal 12 2 2 2 3 4" xfId="4794"/>
    <cellStyle name="Normal 12 2 2 2 3 5" xfId="6103"/>
    <cellStyle name="Normal 12 2 2 2 4" xfId="2541"/>
    <cellStyle name="Normal 12 2 2 2 5" xfId="3404"/>
    <cellStyle name="Normal 12 2 2 2 6" xfId="4272"/>
    <cellStyle name="Normal 12 2 2 2 7" xfId="5142"/>
    <cellStyle name="Normal 12 2 2 2 8" xfId="5562"/>
    <cellStyle name="Normal 12 2 2 2_Monthly Price Data Petroleum" xfId="6223"/>
    <cellStyle name="Normal 12 2 2 3" xfId="1864"/>
    <cellStyle name="Normal 12 2 2 3 2" xfId="2790"/>
    <cellStyle name="Normal 12 2 2 3 3" xfId="3654"/>
    <cellStyle name="Normal 12 2 2 3 4" xfId="4529"/>
    <cellStyle name="Normal 12 2 2 3 5" xfId="5144"/>
    <cellStyle name="Normal 12 2 2 3 6" xfId="5834"/>
    <cellStyle name="Normal 12 2 2 3_Monthly Price Data Petroleum" xfId="5420"/>
    <cellStyle name="Normal 12 2 2 4" xfId="2139"/>
    <cellStyle name="Normal 12 2 2 4 2" xfId="3045"/>
    <cellStyle name="Normal 12 2 2 4 3" xfId="3915"/>
    <cellStyle name="Normal 12 2 2 4 4" xfId="4793"/>
    <cellStyle name="Normal 12 2 2 4 5" xfId="6102"/>
    <cellStyle name="Normal 12 2 2 5" xfId="2387"/>
    <cellStyle name="Normal 12 2 2 5 2" xfId="3246"/>
    <cellStyle name="Normal 12 2 2 5 3" xfId="4112"/>
    <cellStyle name="Normal 12 2 2 5 4" xfId="4991"/>
    <cellStyle name="Normal 12 2 2 5 5" xfId="6301"/>
    <cellStyle name="Normal 12 2 2 6" xfId="2540"/>
    <cellStyle name="Normal 12 2 2 7" xfId="3403"/>
    <cellStyle name="Normal 12 2 2 8" xfId="4271"/>
    <cellStyle name="Normal 12 2 2 9" xfId="5141"/>
    <cellStyle name="Normal 12 2 2_Monthly Price Data" xfId="2281"/>
    <cellStyle name="Normal 12 2 3" xfId="1517"/>
    <cellStyle name="Normal 12 2 3 2" xfId="1866"/>
    <cellStyle name="Normal 12 2 3 2 2" xfId="2792"/>
    <cellStyle name="Normal 12 2 3 2 3" xfId="3656"/>
    <cellStyle name="Normal 12 2 3 2 4" xfId="4531"/>
    <cellStyle name="Normal 12 2 3 2 5" xfId="5146"/>
    <cellStyle name="Normal 12 2 3 2 6" xfId="5836"/>
    <cellStyle name="Normal 12 2 3 2_Monthly Price Data Petroleum" xfId="5580"/>
    <cellStyle name="Normal 12 2 3 3" xfId="2141"/>
    <cellStyle name="Normal 12 2 3 3 2" xfId="3047"/>
    <cellStyle name="Normal 12 2 3 3 3" xfId="3917"/>
    <cellStyle name="Normal 12 2 3 3 4" xfId="4795"/>
    <cellStyle name="Normal 12 2 3 3 5" xfId="6104"/>
    <cellStyle name="Normal 12 2 3 4" xfId="2542"/>
    <cellStyle name="Normal 12 2 3 5" xfId="3405"/>
    <cellStyle name="Normal 12 2 3 6" xfId="4273"/>
    <cellStyle name="Normal 12 2 3 7" xfId="5145"/>
    <cellStyle name="Normal 12 2 3 8" xfId="5563"/>
    <cellStyle name="Normal 12 2 3_Monthly Price Data Petroleum" xfId="6342"/>
    <cellStyle name="Normal 12 2 4" xfId="1687"/>
    <cellStyle name="Normal 12 2 4 2" xfId="2655"/>
    <cellStyle name="Normal 12 2 4 3" xfId="3518"/>
    <cellStyle name="Normal 12 2 4 4" xfId="4389"/>
    <cellStyle name="Normal 12 2 4 5" xfId="5147"/>
    <cellStyle name="Normal 12 2 4 6" xfId="5689"/>
    <cellStyle name="Normal 12 2 4_Monthly Price Data Petroleum" xfId="5611"/>
    <cellStyle name="Normal 12 2 5" xfId="2004"/>
    <cellStyle name="Normal 12 2 5 2" xfId="2910"/>
    <cellStyle name="Normal 12 2 5 3" xfId="3776"/>
    <cellStyle name="Normal 12 2 5 4" xfId="4653"/>
    <cellStyle name="Normal 12 2 5 5" xfId="5962"/>
    <cellStyle name="Normal 12 2 6" xfId="2343"/>
    <cellStyle name="Normal 12 2 6 2" xfId="3202"/>
    <cellStyle name="Normal 12 2 6 3" xfId="4068"/>
    <cellStyle name="Normal 12 2 6 4" xfId="4947"/>
    <cellStyle name="Normal 12 2 6 5" xfId="6257"/>
    <cellStyle name="Normal 12 2 7" xfId="2404"/>
    <cellStyle name="Normal 12 2 8" xfId="3263"/>
    <cellStyle name="Normal 12 2 9" xfId="4129"/>
    <cellStyle name="Normal 12 2_Monthly Price Data" xfId="2279"/>
    <cellStyle name="Normal 12 20" xfId="1683"/>
    <cellStyle name="Normal 12 20 2" xfId="2001"/>
    <cellStyle name="Normal 12 20 2 2" xfId="2907"/>
    <cellStyle name="Normal 12 20 2 3" xfId="3773"/>
    <cellStyle name="Normal 12 20 2 4" xfId="4650"/>
    <cellStyle name="Normal 12 20 2 5" xfId="5959"/>
    <cellStyle name="Normal 12 20 3" xfId="2652"/>
    <cellStyle name="Normal 12 20 4" xfId="3515"/>
    <cellStyle name="Normal 12 20 5" xfId="4386"/>
    <cellStyle name="Normal 12 20 6" xfId="5686"/>
    <cellStyle name="Normal 12 21" xfId="2255"/>
    <cellStyle name="Normal 12 21 2" xfId="3160"/>
    <cellStyle name="Normal 12 21 3" xfId="4029"/>
    <cellStyle name="Normal 12 21 4" xfId="4908"/>
    <cellStyle name="Normal 12 21 5" xfId="6217"/>
    <cellStyle name="Normal 12 22" xfId="2287"/>
    <cellStyle name="Normal 12 22 2" xfId="3169"/>
    <cellStyle name="Normal 12 22 3" xfId="4037"/>
    <cellStyle name="Normal 12 22 4" xfId="4916"/>
    <cellStyle name="Normal 12 22 5" xfId="6226"/>
    <cellStyle name="Normal 12 23" xfId="2401"/>
    <cellStyle name="Normal 12 24" xfId="3260"/>
    <cellStyle name="Normal 12 25" xfId="4126"/>
    <cellStyle name="Normal 12 26" xfId="5139"/>
    <cellStyle name="Normal 12 27" xfId="5398"/>
    <cellStyle name="Normal 12 28" xfId="1274"/>
    <cellStyle name="Normal 12 3" xfId="1290"/>
    <cellStyle name="Normal 12 3 10" xfId="5407"/>
    <cellStyle name="Normal 12 3 2" xfId="1518"/>
    <cellStyle name="Normal 12 3 2 2" xfId="1867"/>
    <cellStyle name="Normal 12 3 2 2 2" xfId="2793"/>
    <cellStyle name="Normal 12 3 2 2 3" xfId="3657"/>
    <cellStyle name="Normal 12 3 2 2 4" xfId="4532"/>
    <cellStyle name="Normal 12 3 2 2 5" xfId="5150"/>
    <cellStyle name="Normal 12 3 2 2 6" xfId="5837"/>
    <cellStyle name="Normal 12 3 2 2_Monthly Price Data Petroleum" xfId="6360"/>
    <cellStyle name="Normal 12 3 2 3" xfId="2142"/>
    <cellStyle name="Normal 12 3 2 3 2" xfId="3048"/>
    <cellStyle name="Normal 12 3 2 3 3" xfId="3918"/>
    <cellStyle name="Normal 12 3 2 3 4" xfId="4796"/>
    <cellStyle name="Normal 12 3 2 3 5" xfId="6105"/>
    <cellStyle name="Normal 12 3 2 4" xfId="2543"/>
    <cellStyle name="Normal 12 3 2 5" xfId="3406"/>
    <cellStyle name="Normal 12 3 2 6" xfId="4274"/>
    <cellStyle name="Normal 12 3 2 7" xfId="5149"/>
    <cellStyle name="Normal 12 3 2 8" xfId="5564"/>
    <cellStyle name="Normal 12 3 2_Monthly Price Data Petroleum" xfId="6354"/>
    <cellStyle name="Normal 12 3 3" xfId="1697"/>
    <cellStyle name="Normal 12 3 3 2" xfId="2659"/>
    <cellStyle name="Normal 12 3 3 3" xfId="3522"/>
    <cellStyle name="Normal 12 3 3 4" xfId="4393"/>
    <cellStyle name="Normal 12 3 3 5" xfId="5151"/>
    <cellStyle name="Normal 12 3 3 6" xfId="5694"/>
    <cellStyle name="Normal 12 3 3_Monthly Price Data Petroleum" xfId="6343"/>
    <cellStyle name="Normal 12 3 4" xfId="2008"/>
    <cellStyle name="Normal 12 3 4 2" xfId="2914"/>
    <cellStyle name="Normal 12 3 4 3" xfId="3780"/>
    <cellStyle name="Normal 12 3 4 4" xfId="4657"/>
    <cellStyle name="Normal 12 3 4 5" xfId="5966"/>
    <cellStyle name="Normal 12 3 5" xfId="2365"/>
    <cellStyle name="Normal 12 3 5 2" xfId="3224"/>
    <cellStyle name="Normal 12 3 5 3" xfId="4090"/>
    <cellStyle name="Normal 12 3 5 4" xfId="4969"/>
    <cellStyle name="Normal 12 3 5 5" xfId="6279"/>
    <cellStyle name="Normal 12 3 6" xfId="2408"/>
    <cellStyle name="Normal 12 3 7" xfId="3267"/>
    <cellStyle name="Normal 12 3 8" xfId="4133"/>
    <cellStyle name="Normal 12 3 9" xfId="5148"/>
    <cellStyle name="Normal 12 3_Monthly Price Data" xfId="2283"/>
    <cellStyle name="Normal 12 4" xfId="1297"/>
    <cellStyle name="Normal 12 4 2" xfId="1704"/>
    <cellStyle name="Normal 12 4 2 2" xfId="2663"/>
    <cellStyle name="Normal 12 4 2 3" xfId="3526"/>
    <cellStyle name="Normal 12 4 2 4" xfId="4397"/>
    <cellStyle name="Normal 12 4 2 5" xfId="5153"/>
    <cellStyle name="Normal 12 4 2 6" xfId="5699"/>
    <cellStyle name="Normal 12 4 2_Monthly Price Data Petroleum" xfId="6340"/>
    <cellStyle name="Normal 12 4 3" xfId="2012"/>
    <cellStyle name="Normal 12 4 3 2" xfId="2918"/>
    <cellStyle name="Normal 12 4 3 3" xfId="3784"/>
    <cellStyle name="Normal 12 4 3 4" xfId="4661"/>
    <cellStyle name="Normal 12 4 3 5" xfId="5970"/>
    <cellStyle name="Normal 12 4 4" xfId="2412"/>
    <cellStyle name="Normal 12 4 5" xfId="3271"/>
    <cellStyle name="Normal 12 4 6" xfId="4137"/>
    <cellStyle name="Normal 12 4 7" xfId="5152"/>
    <cellStyle name="Normal 12 4 8" xfId="5411"/>
    <cellStyle name="Normal 12 4_Monthly Price Data Petroleum" xfId="6357"/>
    <cellStyle name="Normal 12 5" xfId="1306"/>
    <cellStyle name="Normal 12 5 2" xfId="1712"/>
    <cellStyle name="Normal 12 5 2 2" xfId="2667"/>
    <cellStyle name="Normal 12 5 2 3" xfId="3530"/>
    <cellStyle name="Normal 12 5 2 4" xfId="4401"/>
    <cellStyle name="Normal 12 5 2 5" xfId="5703"/>
    <cellStyle name="Normal 12 5 3" xfId="2016"/>
    <cellStyle name="Normal 12 5 3 2" xfId="2922"/>
    <cellStyle name="Normal 12 5 3 3" xfId="3788"/>
    <cellStyle name="Normal 12 5 3 4" xfId="4665"/>
    <cellStyle name="Normal 12 5 3 5" xfId="5974"/>
    <cellStyle name="Normal 12 5 4" xfId="2416"/>
    <cellStyle name="Normal 12 5 5" xfId="3275"/>
    <cellStyle name="Normal 12 5 6" xfId="4141"/>
    <cellStyle name="Normal 12 5 7" xfId="5154"/>
    <cellStyle name="Normal 12 5 8" xfId="5415"/>
    <cellStyle name="Normal 12 5_Monthly Price Data Petroleum" xfId="5461"/>
    <cellStyle name="Normal 12 6" xfId="1320"/>
    <cellStyle name="Normal 12 7" xfId="1350"/>
    <cellStyle name="Normal 12 7 2" xfId="1721"/>
    <cellStyle name="Normal 12 7 2 2" xfId="2671"/>
    <cellStyle name="Normal 12 7 2 3" xfId="3534"/>
    <cellStyle name="Normal 12 7 2 4" xfId="4406"/>
    <cellStyle name="Normal 12 7 2 5" xfId="5709"/>
    <cellStyle name="Normal 12 7 3" xfId="2020"/>
    <cellStyle name="Normal 12 7 3 2" xfId="2926"/>
    <cellStyle name="Normal 12 7 3 3" xfId="3792"/>
    <cellStyle name="Normal 12 7 3 4" xfId="4670"/>
    <cellStyle name="Normal 12 7 3 5" xfId="5979"/>
    <cellStyle name="Normal 12 7 4" xfId="2420"/>
    <cellStyle name="Normal 12 7 5" xfId="3279"/>
    <cellStyle name="Normal 12 7 6" xfId="4145"/>
    <cellStyle name="Normal 12 7 7" xfId="5427"/>
    <cellStyle name="Normal 12 8" xfId="1356"/>
    <cellStyle name="Normal 12 8 2" xfId="1727"/>
    <cellStyle name="Normal 12 8 2 2" xfId="2675"/>
    <cellStyle name="Normal 12 8 2 3" xfId="3539"/>
    <cellStyle name="Normal 12 8 2 4" xfId="4411"/>
    <cellStyle name="Normal 12 8 2 5" xfId="5714"/>
    <cellStyle name="Normal 12 8 3" xfId="2024"/>
    <cellStyle name="Normal 12 8 3 2" xfId="2930"/>
    <cellStyle name="Normal 12 8 3 3" xfId="3797"/>
    <cellStyle name="Normal 12 8 3 4" xfId="4675"/>
    <cellStyle name="Normal 12 8 3 5" xfId="5984"/>
    <cellStyle name="Normal 12 8 4" xfId="2424"/>
    <cellStyle name="Normal 12 8 5" xfId="3283"/>
    <cellStyle name="Normal 12 8 6" xfId="4151"/>
    <cellStyle name="Normal 12 8 7" xfId="5433"/>
    <cellStyle name="Normal 12 9" xfId="1371"/>
    <cellStyle name="Normal 12 9 2" xfId="1742"/>
    <cellStyle name="Normal 12 9 2 2" xfId="2682"/>
    <cellStyle name="Normal 12 9 2 3" xfId="3546"/>
    <cellStyle name="Normal 12 9 2 4" xfId="4418"/>
    <cellStyle name="Normal 12 9 2 5" xfId="5722"/>
    <cellStyle name="Normal 12 9 3" xfId="2031"/>
    <cellStyle name="Normal 12 9 3 2" xfId="2937"/>
    <cellStyle name="Normal 12 9 3 3" xfId="3804"/>
    <cellStyle name="Normal 12 9 3 4" xfId="4682"/>
    <cellStyle name="Normal 12 9 3 5" xfId="5991"/>
    <cellStyle name="Normal 12 9 4" xfId="2431"/>
    <cellStyle name="Normal 12 9 5" xfId="3290"/>
    <cellStyle name="Normal 12 9 6" xfId="4158"/>
    <cellStyle name="Normal 12 9 7" xfId="5443"/>
    <cellStyle name="Normal 12_2015  Data" xfId="5155"/>
    <cellStyle name="Normal 120" xfId="787"/>
    <cellStyle name="Normal 121" xfId="788"/>
    <cellStyle name="Normal 122" xfId="789"/>
    <cellStyle name="Normal 123" xfId="135"/>
    <cellStyle name="Normal 124" xfId="790"/>
    <cellStyle name="Normal 125" xfId="136"/>
    <cellStyle name="Normal 126" xfId="791"/>
    <cellStyle name="Normal 127" xfId="792"/>
    <cellStyle name="Normal 128" xfId="793"/>
    <cellStyle name="Normal 129" xfId="660"/>
    <cellStyle name="Normal 13" xfId="661"/>
    <cellStyle name="Normal 13 10" xfId="5156"/>
    <cellStyle name="Normal 13 11" xfId="1275"/>
    <cellStyle name="Normal 13 2" xfId="1291"/>
    <cellStyle name="Normal 13 2 2" xfId="1698"/>
    <cellStyle name="Normal 13 3" xfId="1298"/>
    <cellStyle name="Normal 13 3 2" xfId="1705"/>
    <cellStyle name="Normal 13 4" xfId="1321"/>
    <cellStyle name="Normal 13 5" xfId="1357"/>
    <cellStyle name="Normal 13 5 2" xfId="1728"/>
    <cellStyle name="Normal 13 6" xfId="1372"/>
    <cellStyle name="Normal 13 6 2" xfId="1743"/>
    <cellStyle name="Normal 13 7" xfId="1380"/>
    <cellStyle name="Normal 13 7 2" xfId="1751"/>
    <cellStyle name="Normal 13 8" xfId="1385"/>
    <cellStyle name="Normal 13 9" xfId="1684"/>
    <cellStyle name="Normal 13_Comparison 2015 and 2016" xfId="6607"/>
    <cellStyle name="Normal 130" xfId="8"/>
    <cellStyle name="Normal 131" xfId="662"/>
    <cellStyle name="Normal 132" xfId="9"/>
    <cellStyle name="Normal 133" xfId="663"/>
    <cellStyle name="Normal 134" xfId="10"/>
    <cellStyle name="Normal 135" xfId="664"/>
    <cellStyle name="Normal 136" xfId="11"/>
    <cellStyle name="Normal 137" xfId="665"/>
    <cellStyle name="Normal 138" xfId="12"/>
    <cellStyle name="Normal 139" xfId="666"/>
    <cellStyle name="Normal 14" xfId="13"/>
    <cellStyle name="Normal 14 2" xfId="723"/>
    <cellStyle name="Normal 14 2 2" xfId="735"/>
    <cellStyle name="Normal 14 2 2 2" xfId="1174"/>
    <cellStyle name="Normal 14 2 2 2 2" xfId="580"/>
    <cellStyle name="Normal 14 2 2 3" xfId="256"/>
    <cellStyle name="Normal 14 2 3" xfId="1157"/>
    <cellStyle name="Normal 14 2 3 2" xfId="331"/>
    <cellStyle name="Normal 14 2 4" xfId="1187"/>
    <cellStyle name="Normal 14 2 5" xfId="1322"/>
    <cellStyle name="Normal 14 3" xfId="873"/>
    <cellStyle name="Normal 14 3 2" xfId="743"/>
    <cellStyle name="Normal 14 3 2 2" xfId="1182"/>
    <cellStyle name="Normal 14 3 2 2 2" xfId="61"/>
    <cellStyle name="Normal 14 3 2 3" xfId="434"/>
    <cellStyle name="Normal 14 3 3" xfId="1161"/>
    <cellStyle name="Normal 14 3 3 2" xfId="94"/>
    <cellStyle name="Normal 14 3 4" xfId="561"/>
    <cellStyle name="Normal 14 3 5" xfId="1689"/>
    <cellStyle name="Normal 14 4" xfId="961"/>
    <cellStyle name="Normal 14 4 2" xfId="1166"/>
    <cellStyle name="Normal 14 4 2 2" xfId="113"/>
    <cellStyle name="Normal 14 4 3" xfId="1193"/>
    <cellStyle name="Normal 14 4 4" xfId="5157"/>
    <cellStyle name="Normal 14 5" xfId="1153"/>
    <cellStyle name="Normal 14 5 2" xfId="1200"/>
    <cellStyle name="Normal 14 6" xfId="1186"/>
    <cellStyle name="Normal 14 7" xfId="1281"/>
    <cellStyle name="Normal 14_Monthly Price Data Petroleum" xfId="6398"/>
    <cellStyle name="Normal 140" xfId="667"/>
    <cellStyle name="Normal 141" xfId="137"/>
    <cellStyle name="Normal 142" xfId="794"/>
    <cellStyle name="Normal 143" xfId="795"/>
    <cellStyle name="Normal 144" xfId="796"/>
    <cellStyle name="Normal 145" xfId="138"/>
    <cellStyle name="Normal 146" xfId="797"/>
    <cellStyle name="Normal 147" xfId="139"/>
    <cellStyle name="Normal 148" xfId="798"/>
    <cellStyle name="Normal 149" xfId="799"/>
    <cellStyle name="Normal 15" xfId="800"/>
    <cellStyle name="Normal 15 2" xfId="1323"/>
    <cellStyle name="Normal 15 3" xfId="1690"/>
    <cellStyle name="Normal 15 4" xfId="5158"/>
    <cellStyle name="Normal 15 5" xfId="1283"/>
    <cellStyle name="Normal 15_Comparison 2015 and 2016" xfId="6608"/>
    <cellStyle name="Normal 150" xfId="140"/>
    <cellStyle name="Normal 151" xfId="801"/>
    <cellStyle name="Normal 152" xfId="802"/>
    <cellStyle name="Normal 153" xfId="803"/>
    <cellStyle name="Normal 154" xfId="141"/>
    <cellStyle name="Normal 155" xfId="804"/>
    <cellStyle name="Normal 156" xfId="805"/>
    <cellStyle name="Normal 157" xfId="806"/>
    <cellStyle name="Normal 158" xfId="142"/>
    <cellStyle name="Normal 159" xfId="807"/>
    <cellStyle name="Normal 16" xfId="1104"/>
    <cellStyle name="Normal 16 2" xfId="1331"/>
    <cellStyle name="Normal 16 3" xfId="1691"/>
    <cellStyle name="Normal 16 4" xfId="5159"/>
    <cellStyle name="Normal 16 5" xfId="1284"/>
    <cellStyle name="Normal 16_Comparison 2015 and 2016" xfId="6609"/>
    <cellStyle name="Normal 160" xfId="808"/>
    <cellStyle name="Normal 161" xfId="668"/>
    <cellStyle name="Normal 162" xfId="14"/>
    <cellStyle name="Normal 163" xfId="669"/>
    <cellStyle name="Normal 164" xfId="15"/>
    <cellStyle name="Normal 165" xfId="670"/>
    <cellStyle name="Normal 165 2" xfId="1058"/>
    <cellStyle name="Normal 165 2 2" xfId="906"/>
    <cellStyle name="Normal 165 2 2 2" xfId="216"/>
    <cellStyle name="Normal 165 2 2 2 2" xfId="518"/>
    <cellStyle name="Normal 165 2 2 3" xfId="41"/>
    <cellStyle name="Normal 165 2 3" xfId="936"/>
    <cellStyle name="Normal 165 2 3 2" xfId="439"/>
    <cellStyle name="Normal 165 2 4" xfId="277"/>
    <cellStyle name="Normal 165 3" xfId="871"/>
    <cellStyle name="Normal 165 3 2" xfId="1006"/>
    <cellStyle name="Normal 165 3 2 2" xfId="225"/>
    <cellStyle name="Normal 165 3 2 2 2" xfId="547"/>
    <cellStyle name="Normal 165 3 2 3" xfId="305"/>
    <cellStyle name="Normal 165 3 3" xfId="769"/>
    <cellStyle name="Normal 165 3 3 2" xfId="571"/>
    <cellStyle name="Normal 165 3 4" xfId="500"/>
    <cellStyle name="Normal 165 4" xfId="1116"/>
    <cellStyle name="Normal 165 4 2" xfId="990"/>
    <cellStyle name="Normal 165 4 2 2" xfId="347"/>
    <cellStyle name="Normal 165 4 3" xfId="122"/>
    <cellStyle name="Normal 165 5" xfId="1029"/>
    <cellStyle name="Normal 165 5 2" xfId="611"/>
    <cellStyle name="Normal 165 6" xfId="221"/>
    <cellStyle name="Normal 166" xfId="16"/>
    <cellStyle name="Normal 166 2" xfId="908"/>
    <cellStyle name="Normal 166 2 2" xfId="912"/>
    <cellStyle name="Normal 166 2 2 2" xfId="213"/>
    <cellStyle name="Normal 166 2 2 2 2" xfId="321"/>
    <cellStyle name="Normal 166 2 2 3" xfId="67"/>
    <cellStyle name="Normal 166 2 3" xfId="994"/>
    <cellStyle name="Normal 166 2 3 2" xfId="105"/>
    <cellStyle name="Normal 166 2 4" xfId="528"/>
    <cellStyle name="Normal 166 3" xfId="872"/>
    <cellStyle name="Normal 166 3 2" xfId="919"/>
    <cellStyle name="Normal 166 3 2 2" xfId="211"/>
    <cellStyle name="Normal 166 3 2 2 2" xfId="413"/>
    <cellStyle name="Normal 166 3 2 3" xfId="564"/>
    <cellStyle name="Normal 166 3 3" xfId="770"/>
    <cellStyle name="Normal 166 3 3 2" xfId="443"/>
    <cellStyle name="Normal 166 3 4" xfId="302"/>
    <cellStyle name="Normal 166 4" xfId="1117"/>
    <cellStyle name="Normal 166 4 2" xfId="963"/>
    <cellStyle name="Normal 166 4 2 2" xfId="615"/>
    <cellStyle name="Normal 166 4 3" xfId="340"/>
    <cellStyle name="Normal 166 5" xfId="927"/>
    <cellStyle name="Normal 166 5 2" xfId="476"/>
    <cellStyle name="Normal 166 6" xfId="399"/>
    <cellStyle name="Normal 167" xfId="671"/>
    <cellStyle name="Normal 167 2" xfId="842"/>
    <cellStyle name="Normal 167 2 2" xfId="914"/>
    <cellStyle name="Normal 167 2 2 2" xfId="79"/>
    <cellStyle name="Normal 167 2 2 2 2" xfId="101"/>
    <cellStyle name="Normal 167 2 2 3" xfId="590"/>
    <cellStyle name="Normal 167 2 3" xfId="974"/>
    <cellStyle name="Normal 167 2 3 2" xfId="613"/>
    <cellStyle name="Normal 167 2 4" xfId="111"/>
    <cellStyle name="Normal 167 3" xfId="902"/>
    <cellStyle name="Normal 167 3 2" xfId="921"/>
    <cellStyle name="Normal 167 3 2 2" xfId="233"/>
    <cellStyle name="Normal 167 3 2 2 2" xfId="260"/>
    <cellStyle name="Normal 167 3 2 3" xfId="38"/>
    <cellStyle name="Normal 167 3 3" xfId="772"/>
    <cellStyle name="Normal 167 3 3 2" xfId="77"/>
    <cellStyle name="Normal 167 3 4" xfId="394"/>
    <cellStyle name="Normal 167 4" xfId="1118"/>
    <cellStyle name="Normal 167 4 2" xfId="951"/>
    <cellStyle name="Normal 167 4 2 2" xfId="481"/>
    <cellStyle name="Normal 167 4 3" xfId="607"/>
    <cellStyle name="Normal 167 5" xfId="750"/>
    <cellStyle name="Normal 167 5 2" xfId="281"/>
    <cellStyle name="Normal 167 6" xfId="385"/>
    <cellStyle name="Normal 168" xfId="17"/>
    <cellStyle name="Normal 168 2" xfId="843"/>
    <cellStyle name="Normal 168 2 2" xfId="737"/>
    <cellStyle name="Normal 168 2 2 2" xfId="240"/>
    <cellStyle name="Normal 168 2 2 2 2" xfId="264"/>
    <cellStyle name="Normal 168 2 2 3" xfId="473"/>
    <cellStyle name="Normal 168 2 3" xfId="1043"/>
    <cellStyle name="Normal 168 2 3 2" xfId="479"/>
    <cellStyle name="Normal 168 2 4" xfId="337"/>
    <cellStyle name="Normal 168 3" xfId="969"/>
    <cellStyle name="Normal 168 3 2" xfId="745"/>
    <cellStyle name="Normal 168 3 2 2" xfId="334"/>
    <cellStyle name="Normal 168 3 2 2 2" xfId="370"/>
    <cellStyle name="Normal 168 3 2 3" xfId="64"/>
    <cellStyle name="Normal 168 3 3" xfId="983"/>
    <cellStyle name="Normal 168 3 3 2" xfId="326"/>
    <cellStyle name="Normal 168 3 4" xfId="47"/>
    <cellStyle name="Normal 168 4" xfId="1119"/>
    <cellStyle name="Normal 168 4 2" xfId="1090"/>
    <cellStyle name="Normal 168 4 2 2" xfId="285"/>
    <cellStyle name="Normal 168 4 3" xfId="469"/>
    <cellStyle name="Normal 168 5" xfId="1030"/>
    <cellStyle name="Normal 168 5 2" xfId="536"/>
    <cellStyle name="Normal 168 6" xfId="883"/>
    <cellStyle name="Normal 169" xfId="672"/>
    <cellStyle name="Normal 17" xfId="1105"/>
    <cellStyle name="Normal 17 2" xfId="1324"/>
    <cellStyle name="Normal 17 3" xfId="1692"/>
    <cellStyle name="Normal 17 4" xfId="5160"/>
    <cellStyle name="Normal 17 5" xfId="1285"/>
    <cellStyle name="Normal 17_Monthly Price Data Petroleum" xfId="5383"/>
    <cellStyle name="Normal 170" xfId="673"/>
    <cellStyle name="Normal 171" xfId="18"/>
    <cellStyle name="Normal 172" xfId="674"/>
    <cellStyle name="Normal 173" xfId="143"/>
    <cellStyle name="Normal 173 2" xfId="844"/>
    <cellStyle name="Normal 173 2 2" xfId="1020"/>
    <cellStyle name="Normal 173 2 2 2" xfId="352"/>
    <cellStyle name="Normal 173 2 2 2 2" xfId="374"/>
    <cellStyle name="Normal 173 2 2 3" xfId="117"/>
    <cellStyle name="Normal 173 2 3" xfId="1016"/>
    <cellStyle name="Normal 173 2 3 2" xfId="283"/>
    <cellStyle name="Normal 173 2 4" xfId="604"/>
    <cellStyle name="Normal 173 3" xfId="1072"/>
    <cellStyle name="Normal 173 3 2" xfId="999"/>
    <cellStyle name="Normal 173 3 2 2" xfId="601"/>
    <cellStyle name="Normal 173 3 2 2 2" xfId="640"/>
    <cellStyle name="Normal 173 3 2 3" xfId="226"/>
    <cellStyle name="Normal 173 3 3" xfId="1048"/>
    <cellStyle name="Normal 173 3 3 2" xfId="586"/>
    <cellStyle name="Normal 173 3 4" xfId="73"/>
    <cellStyle name="Normal 173 4" xfId="1120"/>
    <cellStyle name="Normal 173 4 2" xfId="37"/>
    <cellStyle name="Normal 173 4 2 2" xfId="541"/>
    <cellStyle name="Normal 173 4 3" xfId="278"/>
    <cellStyle name="Normal 173 5" xfId="1066"/>
    <cellStyle name="Normal 173 5 2" xfId="406"/>
    <cellStyle name="Normal 173 6" xfId="204"/>
    <cellStyle name="Normal 174" xfId="809"/>
    <cellStyle name="Normal 174 2" xfId="854"/>
    <cellStyle name="Normal 174 2 2" xfId="740"/>
    <cellStyle name="Normal 174 2 2 2" xfId="128"/>
    <cellStyle name="Normal 174 2 2 2 2" xfId="288"/>
    <cellStyle name="Normal 174 2 2 3" xfId="594"/>
    <cellStyle name="Normal 174 2 3" xfId="1014"/>
    <cellStyle name="Normal 174 2 3 2" xfId="426"/>
    <cellStyle name="Normal 174 2 4" xfId="379"/>
    <cellStyle name="Normal 174 3" xfId="1046"/>
    <cellStyle name="Normal 174 3 2" xfId="748"/>
    <cellStyle name="Normal 174 3 2 2" xfId="217"/>
    <cellStyle name="Normal 174 3 2 2 2" xfId="540"/>
    <cellStyle name="Normal 174 3 2 3" xfId="622"/>
    <cellStyle name="Normal 174 3 3" xfId="1080"/>
    <cellStyle name="Normal 174 3 3 2" xfId="616"/>
    <cellStyle name="Normal 174 3 4" xfId="359"/>
    <cellStyle name="Normal 174 4" xfId="1121"/>
    <cellStyle name="Normal 174 4 2" xfId="45"/>
    <cellStyle name="Normal 174 4 2 2" xfId="404"/>
    <cellStyle name="Normal 174 4 3" xfId="529"/>
    <cellStyle name="Normal 174 5" xfId="1038"/>
    <cellStyle name="Normal 174 5 2" xfId="392"/>
    <cellStyle name="Normal 174 6" xfId="30"/>
    <cellStyle name="Normal 175" xfId="810"/>
    <cellStyle name="Normal 175 2" xfId="845"/>
    <cellStyle name="Normal 175 2 2" xfId="1064"/>
    <cellStyle name="Normal 175 2 2 2" xfId="620"/>
    <cellStyle name="Normal 175 2 2 2 2" xfId="644"/>
    <cellStyle name="Normal 175 2 2 3" xfId="533"/>
    <cellStyle name="Normal 175 2 3" xfId="937"/>
    <cellStyle name="Normal 175 2 3 2" xfId="539"/>
    <cellStyle name="Normal 175 2 4" xfId="464"/>
    <cellStyle name="Normal 175 3" xfId="979"/>
    <cellStyle name="Normal 175 3 2" xfId="986"/>
    <cellStyle name="Normal 175 3 2 2" xfId="459"/>
    <cellStyle name="Normal 175 3 2 2 2" xfId="507"/>
    <cellStyle name="Normal 175 3 2 3" xfId="267"/>
    <cellStyle name="Normal 175 3 3" xfId="948"/>
    <cellStyle name="Normal 175 3 3 2" xfId="483"/>
    <cellStyle name="Normal 175 3 4" xfId="231"/>
    <cellStyle name="Normal 175 4" xfId="1122"/>
    <cellStyle name="Normal 175 4 2" xfId="71"/>
    <cellStyle name="Normal 175 4 2 2" xfId="390"/>
    <cellStyle name="Normal 175 4 3" xfId="411"/>
    <cellStyle name="Normal 175 5" xfId="928"/>
    <cellStyle name="Normal 175 5 2" xfId="46"/>
    <cellStyle name="Normal 175 6" xfId="274"/>
    <cellStyle name="Normal 176" xfId="811"/>
    <cellStyle name="Normal 176 2" xfId="846"/>
    <cellStyle name="Normal 176 2 2" xfId="1044"/>
    <cellStyle name="Normal 176 2 2 2" xfId="489"/>
    <cellStyle name="Normal 176 2 2 2 2" xfId="511"/>
    <cellStyle name="Normal 176 2 2 3" xfId="415"/>
    <cellStyle name="Normal 176 2 3" xfId="764"/>
    <cellStyle name="Normal 176 2 3 2" xfId="440"/>
    <cellStyle name="Normal 176 2 4" xfId="276"/>
    <cellStyle name="Normal 176 3" xfId="1034"/>
    <cellStyle name="Normal 176 3 2" xfId="976"/>
    <cellStyle name="Normal 176 3 2 2" xfId="273"/>
    <cellStyle name="Normal 176 3 2 2 2" xfId="310"/>
    <cellStyle name="Normal 176 3 2 3" xfId="377"/>
    <cellStyle name="Normal 176 3 3" xfId="944"/>
    <cellStyle name="Normal 176 3 3 2" xfId="102"/>
    <cellStyle name="Normal 176 3 4" xfId="272"/>
    <cellStyle name="Normal 176 4" xfId="1123"/>
    <cellStyle name="Normal 176 4 2" xfId="323"/>
    <cellStyle name="Normal 176 4 2 2" xfId="42"/>
    <cellStyle name="Normal 176 4 3" xfId="56"/>
    <cellStyle name="Normal 176 5" xfId="751"/>
    <cellStyle name="Normal 176 5 2" xfId="72"/>
    <cellStyle name="Normal 176 6" xfId="523"/>
    <cellStyle name="Normal 177" xfId="144"/>
    <cellStyle name="Normal 177 2" xfId="847"/>
    <cellStyle name="Normal 177 2 2" xfId="915"/>
    <cellStyle name="Normal 177 2 2 2" xfId="290"/>
    <cellStyle name="Normal 177 2 2 2 2" xfId="314"/>
    <cellStyle name="Normal 177 2 2 3" xfId="395"/>
    <cellStyle name="Normal 177 2 3" xfId="1009"/>
    <cellStyle name="Normal 177 2 3 2" xfId="83"/>
    <cellStyle name="Normal 177 2 4" xfId="525"/>
    <cellStyle name="Normal 177 3" xfId="947"/>
    <cellStyle name="Normal 177 3 2" xfId="922"/>
    <cellStyle name="Normal 177 3 2 2" xfId="520"/>
    <cellStyle name="Normal 177 3 2 2 2" xfId="569"/>
    <cellStyle name="Normal 177 3 2 3" xfId="647"/>
    <cellStyle name="Normal 177 3 3" xfId="953"/>
    <cellStyle name="Normal 177 3 3 2" xfId="595"/>
    <cellStyle name="Normal 177 3 4" xfId="382"/>
    <cellStyle name="Normal 177 4" xfId="1124"/>
    <cellStyle name="Normal 177 4 2" xfId="583"/>
    <cellStyle name="Normal 177 4 2 2" xfId="68"/>
    <cellStyle name="Normal 177 4 3" xfId="82"/>
    <cellStyle name="Normal 177 5" xfId="1076"/>
    <cellStyle name="Normal 177 5 2" xfId="229"/>
    <cellStyle name="Normal 177 6" xfId="400"/>
    <cellStyle name="Normal 178" xfId="812"/>
    <cellStyle name="Normal 178 2" xfId="848"/>
    <cellStyle name="Normal 178 2 2" xfId="738"/>
    <cellStyle name="Normal 178 2 2 2" xfId="549"/>
    <cellStyle name="Normal 178 2 2 2 2" xfId="573"/>
    <cellStyle name="Normal 178 2 2 3" xfId="49"/>
    <cellStyle name="Normal 178 2 3" xfId="970"/>
    <cellStyle name="Normal 178 2 3 2" xfId="248"/>
    <cellStyle name="Normal 178 2 4" xfId="405"/>
    <cellStyle name="Normal 178 3" xfId="973"/>
    <cellStyle name="Normal 178 3 2" xfId="746"/>
    <cellStyle name="Normal 178 3 2 2" xfId="424"/>
    <cellStyle name="Normal 178 3 2 2 2" xfId="441"/>
    <cellStyle name="Normal 178 3 2 3" xfId="514"/>
    <cellStyle name="Normal 178 3 3" xfId="1042"/>
    <cellStyle name="Normal 178 3 3 2" xfId="126"/>
    <cellStyle name="Normal 178 3 4" xfId="652"/>
    <cellStyle name="Normal 178 4" xfId="1125"/>
    <cellStyle name="Normal 178 4 2" xfId="460"/>
    <cellStyle name="Normal 178 4 2 2" xfId="227"/>
    <cellStyle name="Normal 178 4 3" xfId="254"/>
    <cellStyle name="Normal 178 5" xfId="977"/>
    <cellStyle name="Normal 178 5 2" xfId="270"/>
    <cellStyle name="Normal 178 6" xfId="386"/>
    <cellStyle name="Normal 179" xfId="813"/>
    <cellStyle name="Normal 179 2" xfId="849"/>
    <cellStyle name="Normal 179 2 2" xfId="1078"/>
    <cellStyle name="Normal 179 2 2 2" xfId="451"/>
    <cellStyle name="Normal 179 2 2 2 2" xfId="447"/>
    <cellStyle name="Normal 179 2 2 3" xfId="75"/>
    <cellStyle name="Normal 179 2 3" xfId="1017"/>
    <cellStyle name="Normal 179 2 3 2" xfId="360"/>
    <cellStyle name="Normal 179 2 4" xfId="391"/>
    <cellStyle name="Normal 179 3" xfId="1052"/>
    <cellStyle name="Normal 179 3 2" xfId="747"/>
    <cellStyle name="Normal 179 3 2 2" xfId="897"/>
    <cellStyle name="Normal 179 3 2 2 2" xfId="112"/>
    <cellStyle name="Normal 179 3 2 3" xfId="317"/>
    <cellStyle name="Normal 179 3 3" xfId="967"/>
    <cellStyle name="Normal 179 3 3 2" xfId="543"/>
    <cellStyle name="Normal 179 3 4" xfId="519"/>
    <cellStyle name="Normal 179 4" xfId="1126"/>
    <cellStyle name="Normal 179 4 2" xfId="96"/>
    <cellStyle name="Normal 179 4 2 2" xfId="268"/>
    <cellStyle name="Normal 179 4 3" xfId="365"/>
    <cellStyle name="Normal 179 5" xfId="1012"/>
    <cellStyle name="Normal 179 5 2" xfId="380"/>
    <cellStyle name="Normal 179 6" xfId="31"/>
    <cellStyle name="Normal 18" xfId="1106"/>
    <cellStyle name="Normal 18 2" xfId="1325"/>
    <cellStyle name="Normal 18 3" xfId="1693"/>
    <cellStyle name="Normal 18 4" xfId="5161"/>
    <cellStyle name="Normal 18 5" xfId="1286"/>
    <cellStyle name="Normal 18_Monthly Price Data Petroleum" xfId="6389"/>
    <cellStyle name="Normal 180" xfId="145"/>
    <cellStyle name="Normal 180 2" xfId="850"/>
    <cellStyle name="Normal 180 2 2" xfId="996"/>
    <cellStyle name="Normal 180 2 2 2" xfId="104"/>
    <cellStyle name="Normal 180 2 2 2 2" xfId="125"/>
    <cellStyle name="Normal 180 2 2 3" xfId="325"/>
    <cellStyle name="Normal 180 2 3" xfId="938"/>
    <cellStyle name="Normal 180 2 3 2" xfId="628"/>
    <cellStyle name="Normal 180 2 4" xfId="39"/>
    <cellStyle name="Normal 180 3" xfId="1070"/>
    <cellStyle name="Normal 180 3 2" xfId="1068"/>
    <cellStyle name="Normal 180 3 2 2" xfId="212"/>
    <cellStyle name="Normal 180 3 2 2 2" xfId="346"/>
    <cellStyle name="Normal 180 3 2 3" xfId="576"/>
    <cellStyle name="Normal 180 3 3" xfId="943"/>
    <cellStyle name="Normal 180 3 3 2" xfId="444"/>
    <cellStyle name="Normal 180 3 4" xfId="322"/>
    <cellStyle name="Normal 180 4" xfId="1127"/>
    <cellStyle name="Normal 180 4 2" xfId="592"/>
    <cellStyle name="Normal 180 4 2 2" xfId="378"/>
    <cellStyle name="Normal 180 4 3" xfId="634"/>
    <cellStyle name="Normal 180 5" xfId="929"/>
    <cellStyle name="Normal 180 5 2" xfId="650"/>
    <cellStyle name="Normal 180 6" xfId="402"/>
    <cellStyle name="Normal 181" xfId="814"/>
    <cellStyle name="Normal 181 2" xfId="851"/>
    <cellStyle name="Normal 181 2 2" xfId="1089"/>
    <cellStyle name="Normal 181 2 2 2" xfId="232"/>
    <cellStyle name="Normal 181 2 2 2 2" xfId="350"/>
    <cellStyle name="Normal 181 2 2 3" xfId="585"/>
    <cellStyle name="Normal 181 2 3" xfId="765"/>
    <cellStyle name="Normal 181 2 3 2" xfId="497"/>
    <cellStyle name="Normal 181 2 4" xfId="65"/>
    <cellStyle name="Normal 181 3" xfId="1037"/>
    <cellStyle name="Normal 181 3 2" xfId="1059"/>
    <cellStyle name="Normal 181 3 2 2" xfId="219"/>
    <cellStyle name="Normal 181 3 2 2 2" xfId="614"/>
    <cellStyle name="Normal 181 3 2 3" xfId="453"/>
    <cellStyle name="Normal 181 3 3" xfId="773"/>
    <cellStyle name="Normal 181 3 3 2" xfId="62"/>
    <cellStyle name="Normal 181 3 4" xfId="581"/>
    <cellStyle name="Normal 181 4" xfId="1128"/>
    <cellStyle name="Normal 181 4 2" xfId="120"/>
    <cellStyle name="Normal 181 4 2 2" xfId="648"/>
    <cellStyle name="Normal 181 4 3" xfId="502"/>
    <cellStyle name="Normal 181 5" xfId="752"/>
    <cellStyle name="Normal 181 5 2" xfId="517"/>
    <cellStyle name="Normal 181 6" xfId="388"/>
    <cellStyle name="Normal 182" xfId="815"/>
    <cellStyle name="Normal 182 2" xfId="852"/>
    <cellStyle name="Normal 182 2 2" xfId="916"/>
    <cellStyle name="Normal 182 2 2 2" xfId="597"/>
    <cellStyle name="Normal 182 2 2 2 2" xfId="618"/>
    <cellStyle name="Normal 182 2 2 3" xfId="474"/>
    <cellStyle name="Normal 182 2 3" xfId="1084"/>
    <cellStyle name="Normal 182 2 3 2" xfId="298"/>
    <cellStyle name="Normal 182 2 4" xfId="228"/>
    <cellStyle name="Normal 182 3" xfId="728"/>
    <cellStyle name="Normal 182 3 2" xfId="988"/>
    <cellStyle name="Normal 182 3 2 2" xfId="776"/>
    <cellStyle name="Normal 182 3 2 2 2" xfId="480"/>
    <cellStyle name="Normal 182 3 2 3" xfId="242"/>
    <cellStyle name="Normal 182 3 3" xfId="774"/>
    <cellStyle name="Normal 182 3 3 2" xfId="238"/>
    <cellStyle name="Normal 182 3 4" xfId="458"/>
    <cellStyle name="Normal 182 4" xfId="1129"/>
    <cellStyle name="Normal 182 4 2" xfId="521"/>
    <cellStyle name="Normal 182 4 2 2" xfId="515"/>
    <cellStyle name="Normal 182 4 3" xfId="304"/>
    <cellStyle name="Normal 182 5" xfId="952"/>
    <cellStyle name="Normal 182 5 2" xfId="320"/>
    <cellStyle name="Normal 182 6" xfId="32"/>
    <cellStyle name="Normal 183" xfId="816"/>
    <cellStyle name="Normal 183 2" xfId="853"/>
    <cellStyle name="Normal 183 2 2" xfId="739"/>
    <cellStyle name="Normal 183 2 2 2" xfId="214"/>
    <cellStyle name="Normal 183 2 2 2 2" xfId="486"/>
    <cellStyle name="Normal 183 2 2 3" xfId="100"/>
    <cellStyle name="Normal 183 2 3" xfId="1002"/>
    <cellStyle name="Normal 183 2 3 2" xfId="557"/>
    <cellStyle name="Normal 183 2 4" xfId="269"/>
    <cellStyle name="Normal 183 3" xfId="903"/>
    <cellStyle name="Normal 183 3 2" xfId="923"/>
    <cellStyle name="Normal 183 3 2 2" xfId="27"/>
    <cellStyle name="Normal 183 3 2 2 2" xfId="284"/>
    <cellStyle name="Normal 183 3 2 3" xfId="354"/>
    <cellStyle name="Normal 183 3 3" xfId="775"/>
    <cellStyle name="Normal 183 3 3 2" xfId="348"/>
    <cellStyle name="Normal 183 3 4" xfId="247"/>
    <cellStyle name="Normal 183 4" xfId="1130"/>
    <cellStyle name="Normal 183 4 2" xfId="425"/>
    <cellStyle name="Normal 183 4 2 2" xfId="318"/>
    <cellStyle name="Normal 183 4 3" xfId="563"/>
    <cellStyle name="Normal 183 5" xfId="1077"/>
    <cellStyle name="Normal 183 5 2" xfId="579"/>
    <cellStyle name="Normal 183 6" xfId="40"/>
    <cellStyle name="Normal 184" xfId="653"/>
    <cellStyle name="Normal 185" xfId="146"/>
    <cellStyle name="Normal 185 2" xfId="855"/>
    <cellStyle name="Normal 185 2 2" xfId="1027"/>
    <cellStyle name="Normal 185 2 2 2" xfId="201"/>
    <cellStyle name="Normal 185 2 2 2 2" xfId="546"/>
    <cellStyle name="Normal 185 2 2 3" xfId="124"/>
    <cellStyle name="Normal 185 2 3" xfId="939"/>
    <cellStyle name="Normal 185 2 3 2" xfId="109"/>
    <cellStyle name="Normal 185 2 4" xfId="649"/>
    <cellStyle name="Normal 185 3" xfId="1073"/>
    <cellStyle name="Normal 185 3 2" xfId="749"/>
    <cellStyle name="Normal 185 3 2 2" xfId="241"/>
    <cellStyle name="Normal 185 3 2 2 2" xfId="36"/>
    <cellStyle name="Normal 185 3 2 3" xfId="491"/>
    <cellStyle name="Normal 185 3 3" xfId="1041"/>
    <cellStyle name="Normal 185 3 3 2" xfId="484"/>
    <cellStyle name="Normal 185 3 4" xfId="627"/>
    <cellStyle name="Normal 185 4" xfId="1131"/>
    <cellStyle name="Normal 185 4 2" xfId="52"/>
    <cellStyle name="Normal 185 4 2 2" xfId="577"/>
    <cellStyle name="Normal 185 4 3" xfId="432"/>
    <cellStyle name="Normal 185 5" xfId="959"/>
    <cellStyle name="Normal 185 5 2" xfId="456"/>
    <cellStyle name="Normal 185 6" xfId="66"/>
    <cellStyle name="Normal 186" xfId="817"/>
    <cellStyle name="Normal 186 2" xfId="859"/>
    <cellStyle name="Normal 186 2 2" xfId="1000"/>
    <cellStyle name="Normal 186 2 2 2" xfId="899"/>
    <cellStyle name="Normal 186 2 2 2 2" xfId="265"/>
    <cellStyle name="Normal 186 2 2 3" xfId="236"/>
    <cellStyle name="Normal 186 2 3" xfId="1088"/>
    <cellStyle name="Normal 186 2 3 2" xfId="34"/>
    <cellStyle name="Normal 186 2 4" xfId="455"/>
    <cellStyle name="Normal 186 3" xfId="950"/>
    <cellStyle name="Normal 186 3 2" xfId="925"/>
    <cellStyle name="Normal 186 3 2 2" xfId="291"/>
    <cellStyle name="Normal 186 3 2 2 2" xfId="266"/>
    <cellStyle name="Normal 186 3 2 3" xfId="89"/>
    <cellStyle name="Normal 186 3 3" xfId="1069"/>
    <cellStyle name="Normal 186 3 3 2" xfId="87"/>
    <cellStyle name="Normal 186 3 4" xfId="423"/>
    <cellStyle name="Normal 186 4" xfId="1132"/>
    <cellStyle name="Normal 186 4 2" xfId="78"/>
    <cellStyle name="Normal 186 4 2 2" xfId="454"/>
    <cellStyle name="Normal 186 4 3" xfId="107"/>
    <cellStyle name="Normal 186 5" xfId="930"/>
    <cellStyle name="Normal 186 5 2" xfId="245"/>
    <cellStyle name="Normal 186 6" xfId="251"/>
    <cellStyle name="Normal 187" xfId="818"/>
    <cellStyle name="Normal 187 2" xfId="856"/>
    <cellStyle name="Normal 187 2 2" xfId="1079"/>
    <cellStyle name="Normal 187 2 2 2" xfId="156"/>
    <cellStyle name="Normal 187 2 2 2 2" xfId="410"/>
    <cellStyle name="Normal 187 2 2 3" xfId="534"/>
    <cellStyle name="Normal 187 2 3" xfId="766"/>
    <cellStyle name="Normal 187 2 3 2" xfId="335"/>
    <cellStyle name="Normal 187 2 4" xfId="516"/>
    <cellStyle name="Normal 187 3" xfId="907"/>
    <cellStyle name="Normal 187 3 2" xfId="1057"/>
    <cellStyle name="Normal 187 3 2 2" xfId="353"/>
    <cellStyle name="Normal 187 3 2 2 2" xfId="889"/>
    <cellStyle name="Normal 187 3 2 3" xfId="292"/>
    <cellStyle name="Normal 187 3 3" xfId="954"/>
    <cellStyle name="Normal 187 3 3 2" xfId="286"/>
    <cellStyle name="Normal 187 3 4" xfId="496"/>
    <cellStyle name="Normal 187 4" xfId="1133"/>
    <cellStyle name="Normal 187 4 2" xfId="327"/>
    <cellStyle name="Normal 187 4 2 2" xfId="243"/>
    <cellStyle name="Normal 187 4 3" xfId="333"/>
    <cellStyle name="Normal 187 5" xfId="753"/>
    <cellStyle name="Normal 187 5 2" xfId="357"/>
    <cellStyle name="Normal 187 6" xfId="362"/>
    <cellStyle name="Normal 188" xfId="819"/>
    <cellStyle name="Normal 188 2" xfId="857"/>
    <cellStyle name="Normal 188 2 2" xfId="1140"/>
    <cellStyle name="Normal 188 2 2 2" xfId="215"/>
    <cellStyle name="Normal 188 2 2 2 2" xfId="55"/>
    <cellStyle name="Normal 188 2 2 3" xfId="435"/>
    <cellStyle name="Normal 188 2 3" xfId="1083"/>
    <cellStyle name="Normal 188 2 3 2" xfId="602"/>
    <cellStyle name="Normal 188 2 4" xfId="319"/>
    <cellStyle name="Normal 188 3" xfId="1005"/>
    <cellStyle name="Normal 188 3 2" xfId="1007"/>
    <cellStyle name="Normal 188 3 2 2" xfId="621"/>
    <cellStyle name="Normal 188 3 2 2 2" xfId="44"/>
    <cellStyle name="Normal 188 3 2 3" xfId="551"/>
    <cellStyle name="Normal 188 3 3" xfId="946"/>
    <cellStyle name="Normal 188 3 3 2" xfId="544"/>
    <cellStyle name="Normal 188 3 4" xfId="297"/>
    <cellStyle name="Normal 188 4" xfId="1134"/>
    <cellStyle name="Normal 188 4 2" xfId="587"/>
    <cellStyle name="Normal 188 4 2 2" xfId="355"/>
    <cellStyle name="Normal 188 4 3" xfId="600"/>
    <cellStyle name="Normal 188 5" xfId="754"/>
    <cellStyle name="Normal 188 5 2" xfId="625"/>
    <cellStyle name="Normal 188 6" xfId="631"/>
    <cellStyle name="Normal 189" xfId="147"/>
    <cellStyle name="Normal 189 2" xfId="858"/>
    <cellStyle name="Normal 189 2 2" xfId="1141"/>
    <cellStyle name="Normal 189 2 2 2" xfId="383"/>
    <cellStyle name="Normal 189 2 2 2 2" xfId="81"/>
    <cellStyle name="Normal 189 2 2 3" xfId="60"/>
    <cellStyle name="Normal 189 2 3" xfId="1026"/>
    <cellStyle name="Normal 189 2 3 2" xfId="462"/>
    <cellStyle name="Normal 189 2 4" xfId="578"/>
    <cellStyle name="Normal 189 3" xfId="1062"/>
    <cellStyle name="Normal 189 3 2" xfId="978"/>
    <cellStyle name="Normal 189 3 2 2" xfId="490"/>
    <cellStyle name="Normal 189 3 2 2 2" xfId="70"/>
    <cellStyle name="Normal 189 3 2 3" xfId="418"/>
    <cellStyle name="Normal 189 3 3" xfId="982"/>
    <cellStyle name="Normal 189 3 3 2" xfId="445"/>
    <cellStyle name="Normal 189 3 4" xfId="556"/>
    <cellStyle name="Normal 189 4" xfId="1135"/>
    <cellStyle name="Normal 189 4 2" xfId="461"/>
    <cellStyle name="Normal 189 4 2 2" xfId="623"/>
    <cellStyle name="Normal 189 4 3" xfId="470"/>
    <cellStyle name="Normal 189 5" xfId="755"/>
    <cellStyle name="Normal 189 5 2" xfId="494"/>
    <cellStyle name="Normal 189 6" xfId="499"/>
    <cellStyle name="Normal 19" xfId="1107"/>
    <cellStyle name="Normal 19 2" xfId="1326"/>
    <cellStyle name="Normal 19 3" xfId="1694"/>
    <cellStyle name="Normal 19 4" xfId="5162"/>
    <cellStyle name="Normal 19 5" xfId="1287"/>
    <cellStyle name="Normal 19_Monthly Price Data Petroleum" xfId="6341"/>
    <cellStyle name="Normal 190" xfId="820"/>
    <cellStyle name="Normal 191" xfId="821"/>
    <cellStyle name="Normal 192" xfId="148"/>
    <cellStyle name="Normal 193" xfId="822"/>
    <cellStyle name="Normal 194" xfId="823"/>
    <cellStyle name="Normal 195" xfId="824"/>
    <cellStyle name="Normal 196" xfId="675"/>
    <cellStyle name="Normal 196 2" xfId="860"/>
    <cellStyle name="Normal 196 2 2" xfId="1023"/>
    <cellStyle name="Normal 196 2 2 2" xfId="202"/>
    <cellStyle name="Normal 196 2 2 2 2" xfId="375"/>
    <cellStyle name="Normal 196 2 2 3" xfId="343"/>
    <cellStyle name="Normal 196 2 3" xfId="940"/>
    <cellStyle name="Normal 196 2 3 2" xfId="401"/>
    <cellStyle name="Normal 196 2 4" xfId="244"/>
    <cellStyle name="Normal 196 3" xfId="1035"/>
    <cellStyle name="Normal 196 3 2" xfId="1053"/>
    <cellStyle name="Normal 196 3 2 2" xfId="550"/>
    <cellStyle name="Normal 196 3 2 2 2" xfId="376"/>
    <cellStyle name="Normal 196 3 2 3" xfId="257"/>
    <cellStyle name="Normal 196 3 3" xfId="960"/>
    <cellStyle name="Normal 196 3 3 2" xfId="261"/>
    <cellStyle name="Normal 196 3 4" xfId="98"/>
    <cellStyle name="Normal 196 4" xfId="1136"/>
    <cellStyle name="Normal 196 4 2" xfId="103"/>
    <cellStyle name="Normal 196 4 2 2" xfId="492"/>
    <cellStyle name="Normal 196 4 3" xfId="130"/>
    <cellStyle name="Normal 196 5" xfId="1028"/>
    <cellStyle name="Normal 196 5 2" xfId="295"/>
    <cellStyle name="Normal 196 6" xfId="301"/>
    <cellStyle name="Normal 197" xfId="676"/>
    <cellStyle name="Normal 197 2" xfId="861"/>
    <cellStyle name="Normal 197 2 2" xfId="1039"/>
    <cellStyle name="Normal 197 2 2 2" xfId="208"/>
    <cellStyle name="Normal 197 2 2 2 2" xfId="645"/>
    <cellStyle name="Normal 197 2 2 3" xfId="610"/>
    <cellStyle name="Normal 197 2 3" xfId="767"/>
    <cellStyle name="Normal 197 2 3 2" xfId="387"/>
    <cellStyle name="Normal 197 2 4" xfId="356"/>
    <cellStyle name="Normal 197 3" xfId="1013"/>
    <cellStyle name="Normal 197 3 2" xfId="984"/>
    <cellStyle name="Normal 197 3 2 2" xfId="452"/>
    <cellStyle name="Normal 197 3 2 2 2" xfId="646"/>
    <cellStyle name="Normal 197 3 2 3" xfId="367"/>
    <cellStyle name="Normal 197 3 3" xfId="945"/>
    <cellStyle name="Normal 197 3 3 2" xfId="371"/>
    <cellStyle name="Normal 197 3 4" xfId="253"/>
    <cellStyle name="Normal 197 4" xfId="1137"/>
    <cellStyle name="Normal 197 4 2" xfId="596"/>
    <cellStyle name="Normal 197 4 2 2" xfId="293"/>
    <cellStyle name="Normal 197 4 3" xfId="530"/>
    <cellStyle name="Normal 197 5" xfId="1032"/>
    <cellStyle name="Normal 197 5 2" xfId="554"/>
    <cellStyle name="Normal 197 6" xfId="560"/>
    <cellStyle name="Normal 198" xfId="721"/>
    <cellStyle name="Normal 198 2" xfId="911"/>
    <cellStyle name="Normal 199" xfId="964"/>
    <cellStyle name="Normal 199 2" xfId="926"/>
    <cellStyle name="Normal 2" xfId="677"/>
    <cellStyle name="Normal 2 10" xfId="5003"/>
    <cellStyle name="Normal 2 11" xfId="5393"/>
    <cellStyle name="Normal 2 12" xfId="1208"/>
    <cellStyle name="Normal 2 2" xfId="1033"/>
    <cellStyle name="Normal 2 2 10" xfId="5163"/>
    <cellStyle name="Normal 2 2 11" xfId="6374"/>
    <cellStyle name="Normal 2 2 12" xfId="1265"/>
    <cellStyle name="Normal 2 2 2" xfId="1444"/>
    <cellStyle name="Normal 2 2 2 2" xfId="1519"/>
    <cellStyle name="Normal 2 2 2 3" xfId="1520"/>
    <cellStyle name="Normal 2 2 2_Monthly Price Data" xfId="2290"/>
    <cellStyle name="Normal 2 2 3" xfId="1521"/>
    <cellStyle name="Normal 2 2 3 10" xfId="4275"/>
    <cellStyle name="Normal 2 2 3 11" xfId="5164"/>
    <cellStyle name="Normal 2 2 3 12" xfId="5565"/>
    <cellStyle name="Normal 2 2 3 2" xfId="1522"/>
    <cellStyle name="Normal 2 2 3 2 10" xfId="5165"/>
    <cellStyle name="Normal 2 2 3 2 11" xfId="5566"/>
    <cellStyle name="Normal 2 2 3 2 2" xfId="1523"/>
    <cellStyle name="Normal 2 2 3 2 2 10" xfId="5567"/>
    <cellStyle name="Normal 2 2 3 2 2 2" xfId="1524"/>
    <cellStyle name="Normal 2 2 3 2 2 2 2" xfId="1871"/>
    <cellStyle name="Normal 2 2 3 2 2 2 2 2" xfId="2797"/>
    <cellStyle name="Normal 2 2 3 2 2 2 2 3" xfId="3661"/>
    <cellStyle name="Normal 2 2 3 2 2 2 2 4" xfId="4536"/>
    <cellStyle name="Normal 2 2 3 2 2 2 2 5" xfId="5168"/>
    <cellStyle name="Normal 2 2 3 2 2 2 2 6" xfId="5841"/>
    <cellStyle name="Normal 2 2 3 2 2 2 2_Monthly Price Data Petroleum" xfId="6348"/>
    <cellStyle name="Normal 2 2 3 2 2 2 3" xfId="2146"/>
    <cellStyle name="Normal 2 2 3 2 2 2 3 2" xfId="3052"/>
    <cellStyle name="Normal 2 2 3 2 2 2 3 3" xfId="3922"/>
    <cellStyle name="Normal 2 2 3 2 2 2 3 4" xfId="4800"/>
    <cellStyle name="Normal 2 2 3 2 2 2 3 5" xfId="6109"/>
    <cellStyle name="Normal 2 2 3 2 2 2 4" xfId="2547"/>
    <cellStyle name="Normal 2 2 3 2 2 2 5" xfId="3410"/>
    <cellStyle name="Normal 2 2 3 2 2 2 6" xfId="4278"/>
    <cellStyle name="Normal 2 2 3 2 2 2 7" xfId="5167"/>
    <cellStyle name="Normal 2 2 3 2 2 2 8" xfId="5568"/>
    <cellStyle name="Normal 2 2 3 2 2 2_Monthly Price Data Petroleum" xfId="5390"/>
    <cellStyle name="Normal 2 2 3 2 2 3" xfId="1870"/>
    <cellStyle name="Normal 2 2 3 2 2 3 2" xfId="2796"/>
    <cellStyle name="Normal 2 2 3 2 2 3 3" xfId="3660"/>
    <cellStyle name="Normal 2 2 3 2 2 3 4" xfId="4535"/>
    <cellStyle name="Normal 2 2 3 2 2 3 5" xfId="5169"/>
    <cellStyle name="Normal 2 2 3 2 2 3 6" xfId="5840"/>
    <cellStyle name="Normal 2 2 3 2 2 3_Monthly Price Data Petroleum" xfId="6375"/>
    <cellStyle name="Normal 2 2 3 2 2 4" xfId="2145"/>
    <cellStyle name="Normal 2 2 3 2 2 4 2" xfId="3051"/>
    <cellStyle name="Normal 2 2 3 2 2 4 3" xfId="3921"/>
    <cellStyle name="Normal 2 2 3 2 2 4 4" xfId="4799"/>
    <cellStyle name="Normal 2 2 3 2 2 4 5" xfId="6108"/>
    <cellStyle name="Normal 2 2 3 2 2 5" xfId="2390"/>
    <cellStyle name="Normal 2 2 3 2 2 5 2" xfId="3249"/>
    <cellStyle name="Normal 2 2 3 2 2 5 3" xfId="4115"/>
    <cellStyle name="Normal 2 2 3 2 2 5 4" xfId="4994"/>
    <cellStyle name="Normal 2 2 3 2 2 5 5" xfId="6304"/>
    <cellStyle name="Normal 2 2 3 2 2 6" xfId="2546"/>
    <cellStyle name="Normal 2 2 3 2 2 7" xfId="3409"/>
    <cellStyle name="Normal 2 2 3 2 2 8" xfId="4277"/>
    <cellStyle name="Normal 2 2 3 2 2 9" xfId="5166"/>
    <cellStyle name="Normal 2 2 3 2 2_Monthly Price Data" xfId="2296"/>
    <cellStyle name="Normal 2 2 3 2 3" xfId="1525"/>
    <cellStyle name="Normal 2 2 3 2 3 2" xfId="1872"/>
    <cellStyle name="Normal 2 2 3 2 3 2 2" xfId="2798"/>
    <cellStyle name="Normal 2 2 3 2 3 2 3" xfId="3662"/>
    <cellStyle name="Normal 2 2 3 2 3 2 4" xfId="4537"/>
    <cellStyle name="Normal 2 2 3 2 3 2 5" xfId="5171"/>
    <cellStyle name="Normal 2 2 3 2 3 2 6" xfId="5842"/>
    <cellStyle name="Normal 2 2 3 2 3 2_Monthly Price Data Petroleum" xfId="5716"/>
    <cellStyle name="Normal 2 2 3 2 3 3" xfId="2147"/>
    <cellStyle name="Normal 2 2 3 2 3 3 2" xfId="3053"/>
    <cellStyle name="Normal 2 2 3 2 3 3 3" xfId="3923"/>
    <cellStyle name="Normal 2 2 3 2 3 3 4" xfId="4801"/>
    <cellStyle name="Normal 2 2 3 2 3 3 5" xfId="6110"/>
    <cellStyle name="Normal 2 2 3 2 3 4" xfId="2548"/>
    <cellStyle name="Normal 2 2 3 2 3 5" xfId="3411"/>
    <cellStyle name="Normal 2 2 3 2 3 6" xfId="4279"/>
    <cellStyle name="Normal 2 2 3 2 3 7" xfId="5170"/>
    <cellStyle name="Normal 2 2 3 2 3 8" xfId="5569"/>
    <cellStyle name="Normal 2 2 3 2 3_Monthly Price Data Petroleum" xfId="5386"/>
    <cellStyle name="Normal 2 2 3 2 4" xfId="1869"/>
    <cellStyle name="Normal 2 2 3 2 4 2" xfId="2795"/>
    <cellStyle name="Normal 2 2 3 2 4 3" xfId="3659"/>
    <cellStyle name="Normal 2 2 3 2 4 4" xfId="4534"/>
    <cellStyle name="Normal 2 2 3 2 4 5" xfId="5172"/>
    <cellStyle name="Normal 2 2 3 2 4 6" xfId="5839"/>
    <cellStyle name="Normal 2 2 3 2 4_Monthly Price Data Petroleum" xfId="6372"/>
    <cellStyle name="Normal 2 2 3 2 5" xfId="2144"/>
    <cellStyle name="Normal 2 2 3 2 5 2" xfId="3050"/>
    <cellStyle name="Normal 2 2 3 2 5 3" xfId="3920"/>
    <cellStyle name="Normal 2 2 3 2 5 4" xfId="4798"/>
    <cellStyle name="Normal 2 2 3 2 5 5" xfId="6107"/>
    <cellStyle name="Normal 2 2 3 2 6" xfId="2346"/>
    <cellStyle name="Normal 2 2 3 2 6 2" xfId="3205"/>
    <cellStyle name="Normal 2 2 3 2 6 3" xfId="4071"/>
    <cellStyle name="Normal 2 2 3 2 6 4" xfId="4950"/>
    <cellStyle name="Normal 2 2 3 2 6 5" xfId="6260"/>
    <cellStyle name="Normal 2 2 3 2 7" xfId="2545"/>
    <cellStyle name="Normal 2 2 3 2 8" xfId="3408"/>
    <cellStyle name="Normal 2 2 3 2 9" xfId="4276"/>
    <cellStyle name="Normal 2 2 3 2_Monthly Price Data" xfId="2294"/>
    <cellStyle name="Normal 2 2 3 3" xfId="1526"/>
    <cellStyle name="Normal 2 2 3 3 10" xfId="5570"/>
    <cellStyle name="Normal 2 2 3 3 2" xfId="1527"/>
    <cellStyle name="Normal 2 2 3 3 2 2" xfId="1874"/>
    <cellStyle name="Normal 2 2 3 3 2 2 2" xfId="2800"/>
    <cellStyle name="Normal 2 2 3 3 2 2 3" xfId="3664"/>
    <cellStyle name="Normal 2 2 3 3 2 2 4" xfId="4539"/>
    <cellStyle name="Normal 2 2 3 3 2 2 5" xfId="5175"/>
    <cellStyle name="Normal 2 2 3 3 2 2 6" xfId="5844"/>
    <cellStyle name="Normal 2 2 3 3 2 2_Monthly Price Data Petroleum" xfId="6394"/>
    <cellStyle name="Normal 2 2 3 3 2 3" xfId="2149"/>
    <cellStyle name="Normal 2 2 3 3 2 3 2" xfId="3055"/>
    <cellStyle name="Normal 2 2 3 3 2 3 3" xfId="3925"/>
    <cellStyle name="Normal 2 2 3 3 2 3 4" xfId="4803"/>
    <cellStyle name="Normal 2 2 3 3 2 3 5" xfId="6112"/>
    <cellStyle name="Normal 2 2 3 3 2 4" xfId="2550"/>
    <cellStyle name="Normal 2 2 3 3 2 5" xfId="3413"/>
    <cellStyle name="Normal 2 2 3 3 2 6" xfId="4281"/>
    <cellStyle name="Normal 2 2 3 3 2 7" xfId="5174"/>
    <cellStyle name="Normal 2 2 3 3 2 8" xfId="5571"/>
    <cellStyle name="Normal 2 2 3 3 2_Monthly Price Data Petroleum" xfId="6328"/>
    <cellStyle name="Normal 2 2 3 3 3" xfId="1873"/>
    <cellStyle name="Normal 2 2 3 3 3 2" xfId="2799"/>
    <cellStyle name="Normal 2 2 3 3 3 3" xfId="3663"/>
    <cellStyle name="Normal 2 2 3 3 3 4" xfId="4538"/>
    <cellStyle name="Normal 2 2 3 3 3 5" xfId="5176"/>
    <cellStyle name="Normal 2 2 3 3 3 6" xfId="5843"/>
    <cellStyle name="Normal 2 2 3 3 3_Monthly Price Data Petroleum" xfId="5940"/>
    <cellStyle name="Normal 2 2 3 3 4" xfId="2148"/>
    <cellStyle name="Normal 2 2 3 3 4 2" xfId="3054"/>
    <cellStyle name="Normal 2 2 3 3 4 3" xfId="3924"/>
    <cellStyle name="Normal 2 2 3 3 4 4" xfId="4802"/>
    <cellStyle name="Normal 2 2 3 3 4 5" xfId="6111"/>
    <cellStyle name="Normal 2 2 3 3 5" xfId="2368"/>
    <cellStyle name="Normal 2 2 3 3 5 2" xfId="3227"/>
    <cellStyle name="Normal 2 2 3 3 5 3" xfId="4093"/>
    <cellStyle name="Normal 2 2 3 3 5 4" xfId="4972"/>
    <cellStyle name="Normal 2 2 3 3 5 5" xfId="6282"/>
    <cellStyle name="Normal 2 2 3 3 6" xfId="2549"/>
    <cellStyle name="Normal 2 2 3 3 7" xfId="3412"/>
    <cellStyle name="Normal 2 2 3 3 8" xfId="4280"/>
    <cellStyle name="Normal 2 2 3 3 9" xfId="5173"/>
    <cellStyle name="Normal 2 2 3 3_Monthly Price Data" xfId="2268"/>
    <cellStyle name="Normal 2 2 3 4" xfId="1528"/>
    <cellStyle name="Normal 2 2 3 4 2" xfId="1875"/>
    <cellStyle name="Normal 2 2 3 4 2 2" xfId="2801"/>
    <cellStyle name="Normal 2 2 3 4 2 3" xfId="3665"/>
    <cellStyle name="Normal 2 2 3 4 2 4" xfId="4540"/>
    <cellStyle name="Normal 2 2 3 4 2 5" xfId="5178"/>
    <cellStyle name="Normal 2 2 3 4 2 6" xfId="5845"/>
    <cellStyle name="Normal 2 2 3 4 2_Monthly Price Data Petroleum" xfId="5664"/>
    <cellStyle name="Normal 2 2 3 4 3" xfId="2150"/>
    <cellStyle name="Normal 2 2 3 4 3 2" xfId="3056"/>
    <cellStyle name="Normal 2 2 3 4 3 3" xfId="3926"/>
    <cellStyle name="Normal 2 2 3 4 3 4" xfId="4804"/>
    <cellStyle name="Normal 2 2 3 4 3 5" xfId="6113"/>
    <cellStyle name="Normal 2 2 3 4 4" xfId="2551"/>
    <cellStyle name="Normal 2 2 3 4 5" xfId="3414"/>
    <cellStyle name="Normal 2 2 3 4 6" xfId="4282"/>
    <cellStyle name="Normal 2 2 3 4 7" xfId="5177"/>
    <cellStyle name="Normal 2 2 3 4 8" xfId="5572"/>
    <cellStyle name="Normal 2 2 3 4_Monthly Price Data Petroleum" xfId="5391"/>
    <cellStyle name="Normal 2 2 3 5" xfId="1868"/>
    <cellStyle name="Normal 2 2 3 5 2" xfId="2794"/>
    <cellStyle name="Normal 2 2 3 5 3" xfId="3658"/>
    <cellStyle name="Normal 2 2 3 5 4" xfId="4533"/>
    <cellStyle name="Normal 2 2 3 5 5" xfId="5179"/>
    <cellStyle name="Normal 2 2 3 5 6" xfId="5838"/>
    <cellStyle name="Normal 2 2 3 5_Monthly Price Data Petroleum" xfId="6382"/>
    <cellStyle name="Normal 2 2 3 6" xfId="2143"/>
    <cellStyle name="Normal 2 2 3 6 2" xfId="3049"/>
    <cellStyle name="Normal 2 2 3 6 3" xfId="3919"/>
    <cellStyle name="Normal 2 2 3 6 4" xfId="4797"/>
    <cellStyle name="Normal 2 2 3 6 5" xfId="6106"/>
    <cellStyle name="Normal 2 2 3 7" xfId="2324"/>
    <cellStyle name="Normal 2 2 3 7 2" xfId="3183"/>
    <cellStyle name="Normal 2 2 3 7 3" xfId="4049"/>
    <cellStyle name="Normal 2 2 3 7 4" xfId="4928"/>
    <cellStyle name="Normal 2 2 3 7 5" xfId="6238"/>
    <cellStyle name="Normal 2 2 3 8" xfId="2544"/>
    <cellStyle name="Normal 2 2 3 9" xfId="3407"/>
    <cellStyle name="Normal 2 2 3_Monthly Price Data" xfId="2292"/>
    <cellStyle name="Normal 2 2 4" xfId="1529"/>
    <cellStyle name="Normal 2 2 4 10" xfId="5180"/>
    <cellStyle name="Normal 2 2 4 11" xfId="5573"/>
    <cellStyle name="Normal 2 2 4 2" xfId="1530"/>
    <cellStyle name="Normal 2 2 4 2 10" xfId="5574"/>
    <cellStyle name="Normal 2 2 4 2 2" xfId="1531"/>
    <cellStyle name="Normal 2 2 4 2 2 2" xfId="1878"/>
    <cellStyle name="Normal 2 2 4 2 2 2 2" xfId="2804"/>
    <cellStyle name="Normal 2 2 4 2 2 2 3" xfId="3668"/>
    <cellStyle name="Normal 2 2 4 2 2 2 4" xfId="4543"/>
    <cellStyle name="Normal 2 2 4 2 2 2 5" xfId="5183"/>
    <cellStyle name="Normal 2 2 4 2 2 2 6" xfId="5848"/>
    <cellStyle name="Normal 2 2 4 2 2 2_Monthly Price Data Petroleum" xfId="5388"/>
    <cellStyle name="Normal 2 2 4 2 2 3" xfId="2153"/>
    <cellStyle name="Normal 2 2 4 2 2 3 2" xfId="3059"/>
    <cellStyle name="Normal 2 2 4 2 2 3 3" xfId="3929"/>
    <cellStyle name="Normal 2 2 4 2 2 3 4" xfId="4807"/>
    <cellStyle name="Normal 2 2 4 2 2 3 5" xfId="6116"/>
    <cellStyle name="Normal 2 2 4 2 2 4" xfId="2554"/>
    <cellStyle name="Normal 2 2 4 2 2 5" xfId="3417"/>
    <cellStyle name="Normal 2 2 4 2 2 6" xfId="4285"/>
    <cellStyle name="Normal 2 2 4 2 2 7" xfId="5182"/>
    <cellStyle name="Normal 2 2 4 2 2 8" xfId="5575"/>
    <cellStyle name="Normal 2 2 4 2 2_Monthly Price Data Petroleum" xfId="6351"/>
    <cellStyle name="Normal 2 2 4 2 3" xfId="1877"/>
    <cellStyle name="Normal 2 2 4 2 3 2" xfId="2803"/>
    <cellStyle name="Normal 2 2 4 2 3 3" xfId="3667"/>
    <cellStyle name="Normal 2 2 4 2 3 4" xfId="4542"/>
    <cellStyle name="Normal 2 2 4 2 3 5" xfId="5184"/>
    <cellStyle name="Normal 2 2 4 2 3 6" xfId="5847"/>
    <cellStyle name="Normal 2 2 4 2 3_Monthly Price Data Petroleum" xfId="5497"/>
    <cellStyle name="Normal 2 2 4 2 4" xfId="2152"/>
    <cellStyle name="Normal 2 2 4 2 4 2" xfId="3058"/>
    <cellStyle name="Normal 2 2 4 2 4 3" xfId="3928"/>
    <cellStyle name="Normal 2 2 4 2 4 4" xfId="4806"/>
    <cellStyle name="Normal 2 2 4 2 4 5" xfId="6115"/>
    <cellStyle name="Normal 2 2 4 2 5" xfId="2377"/>
    <cellStyle name="Normal 2 2 4 2 5 2" xfId="3236"/>
    <cellStyle name="Normal 2 2 4 2 5 3" xfId="4102"/>
    <cellStyle name="Normal 2 2 4 2 5 4" xfId="4981"/>
    <cellStyle name="Normal 2 2 4 2 5 5" xfId="6291"/>
    <cellStyle name="Normal 2 2 4 2 6" xfId="2553"/>
    <cellStyle name="Normal 2 2 4 2 7" xfId="3416"/>
    <cellStyle name="Normal 2 2 4 2 8" xfId="4284"/>
    <cellStyle name="Normal 2 2 4 2 9" xfId="5181"/>
    <cellStyle name="Normal 2 2 4 2_Monthly Price Data" xfId="2272"/>
    <cellStyle name="Normal 2 2 4 3" xfId="1532"/>
    <cellStyle name="Normal 2 2 4 3 2" xfId="1879"/>
    <cellStyle name="Normal 2 2 4 3 2 2" xfId="2805"/>
    <cellStyle name="Normal 2 2 4 3 2 3" xfId="3669"/>
    <cellStyle name="Normal 2 2 4 3 2 4" xfId="4544"/>
    <cellStyle name="Normal 2 2 4 3 2 5" xfId="5186"/>
    <cellStyle name="Normal 2 2 4 3 2 6" xfId="5849"/>
    <cellStyle name="Normal 2 2 4 3 2_Monthly Price Data Petroleum" xfId="5665"/>
    <cellStyle name="Normal 2 2 4 3 3" xfId="2154"/>
    <cellStyle name="Normal 2 2 4 3 3 2" xfId="3060"/>
    <cellStyle name="Normal 2 2 4 3 3 3" xfId="3930"/>
    <cellStyle name="Normal 2 2 4 3 3 4" xfId="4808"/>
    <cellStyle name="Normal 2 2 4 3 3 5" xfId="6117"/>
    <cellStyle name="Normal 2 2 4 3 4" xfId="2555"/>
    <cellStyle name="Normal 2 2 4 3 5" xfId="3418"/>
    <cellStyle name="Normal 2 2 4 3 6" xfId="4286"/>
    <cellStyle name="Normal 2 2 4 3 7" xfId="5185"/>
    <cellStyle name="Normal 2 2 4 3 8" xfId="5576"/>
    <cellStyle name="Normal 2 2 4 3_Monthly Price Data Petroleum" xfId="5437"/>
    <cellStyle name="Normal 2 2 4 4" xfId="1876"/>
    <cellStyle name="Normal 2 2 4 4 2" xfId="2802"/>
    <cellStyle name="Normal 2 2 4 4 3" xfId="3666"/>
    <cellStyle name="Normal 2 2 4 4 4" xfId="4541"/>
    <cellStyle name="Normal 2 2 4 4 5" xfId="5187"/>
    <cellStyle name="Normal 2 2 4 4 6" xfId="5846"/>
    <cellStyle name="Normal 2 2 4 4_Monthly Price Data Petroleum" xfId="5424"/>
    <cellStyle name="Normal 2 2 4 5" xfId="2151"/>
    <cellStyle name="Normal 2 2 4 5 2" xfId="3057"/>
    <cellStyle name="Normal 2 2 4 5 3" xfId="3927"/>
    <cellStyle name="Normal 2 2 4 5 4" xfId="4805"/>
    <cellStyle name="Normal 2 2 4 5 5" xfId="6114"/>
    <cellStyle name="Normal 2 2 4 6" xfId="2333"/>
    <cellStyle name="Normal 2 2 4 6 2" xfId="3192"/>
    <cellStyle name="Normal 2 2 4 6 3" xfId="4058"/>
    <cellStyle name="Normal 2 2 4 6 4" xfId="4937"/>
    <cellStyle name="Normal 2 2 4 6 5" xfId="6247"/>
    <cellStyle name="Normal 2 2 4 7" xfId="2552"/>
    <cellStyle name="Normal 2 2 4 8" xfId="3415"/>
    <cellStyle name="Normal 2 2 4 9" xfId="4283"/>
    <cellStyle name="Normal 2 2 4_Monthly Price Data" xfId="2270"/>
    <cellStyle name="Normal 2 2 5" xfId="1533"/>
    <cellStyle name="Normal 2 2 5 10" xfId="5577"/>
    <cellStyle name="Normal 2 2 5 2" xfId="1534"/>
    <cellStyle name="Normal 2 2 5 2 2" xfId="1881"/>
    <cellStyle name="Normal 2 2 5 2 2 2" xfId="2807"/>
    <cellStyle name="Normal 2 2 5 2 2 3" xfId="3671"/>
    <cellStyle name="Normal 2 2 5 2 2 4" xfId="4546"/>
    <cellStyle name="Normal 2 2 5 2 2 5" xfId="5190"/>
    <cellStyle name="Normal 2 2 5 2 2 6" xfId="5851"/>
    <cellStyle name="Normal 2 2 5 2 2_Monthly Price Data Petroleum" xfId="6401"/>
    <cellStyle name="Normal 2 2 5 2 3" xfId="2156"/>
    <cellStyle name="Normal 2 2 5 2 3 2" xfId="3062"/>
    <cellStyle name="Normal 2 2 5 2 3 3" xfId="3932"/>
    <cellStyle name="Normal 2 2 5 2 3 4" xfId="4810"/>
    <cellStyle name="Normal 2 2 5 2 3 5" xfId="6119"/>
    <cellStyle name="Normal 2 2 5 2 4" xfId="2557"/>
    <cellStyle name="Normal 2 2 5 2 5" xfId="3420"/>
    <cellStyle name="Normal 2 2 5 2 6" xfId="4288"/>
    <cellStyle name="Normal 2 2 5 2 7" xfId="5189"/>
    <cellStyle name="Normal 2 2 5 2 8" xfId="5578"/>
    <cellStyle name="Normal 2 2 5 2_Monthly Price Data Petroleum" xfId="6361"/>
    <cellStyle name="Normal 2 2 5 3" xfId="1880"/>
    <cellStyle name="Normal 2 2 5 3 2" xfId="2806"/>
    <cellStyle name="Normal 2 2 5 3 3" xfId="3670"/>
    <cellStyle name="Normal 2 2 5 3 4" xfId="4545"/>
    <cellStyle name="Normal 2 2 5 3 5" xfId="5191"/>
    <cellStyle name="Normal 2 2 5 3 6" xfId="5850"/>
    <cellStyle name="Normal 2 2 5 3_Monthly Price Data Petroleum" xfId="5663"/>
    <cellStyle name="Normal 2 2 5 4" xfId="2155"/>
    <cellStyle name="Normal 2 2 5 4 2" xfId="3061"/>
    <cellStyle name="Normal 2 2 5 4 3" xfId="3931"/>
    <cellStyle name="Normal 2 2 5 4 4" xfId="4809"/>
    <cellStyle name="Normal 2 2 5 4 5" xfId="6118"/>
    <cellStyle name="Normal 2 2 5 5" xfId="2355"/>
    <cellStyle name="Normal 2 2 5 5 2" xfId="3214"/>
    <cellStyle name="Normal 2 2 5 5 3" xfId="4080"/>
    <cellStyle name="Normal 2 2 5 5 4" xfId="4959"/>
    <cellStyle name="Normal 2 2 5 5 5" xfId="6269"/>
    <cellStyle name="Normal 2 2 5 6" xfId="2556"/>
    <cellStyle name="Normal 2 2 5 7" xfId="3419"/>
    <cellStyle name="Normal 2 2 5 8" xfId="4287"/>
    <cellStyle name="Normal 2 2 5 9" xfId="5188"/>
    <cellStyle name="Normal 2 2 5_Monthly Price Data" xfId="2274"/>
    <cellStyle name="Normal 2 2 6" xfId="1535"/>
    <cellStyle name="Normal 2 2 6 2" xfId="1882"/>
    <cellStyle name="Normal 2 2 6 2 2" xfId="2808"/>
    <cellStyle name="Normal 2 2 6 2 3" xfId="3672"/>
    <cellStyle name="Normal 2 2 6 2 4" xfId="4547"/>
    <cellStyle name="Normal 2 2 6 2 5" xfId="5193"/>
    <cellStyle name="Normal 2 2 6 2 6" xfId="5852"/>
    <cellStyle name="Normal 2 2 6 2_Monthly Price Data Petroleum" xfId="6329"/>
    <cellStyle name="Normal 2 2 6 3" xfId="2157"/>
    <cellStyle name="Normal 2 2 6 3 2" xfId="3063"/>
    <cellStyle name="Normal 2 2 6 3 3" xfId="3933"/>
    <cellStyle name="Normal 2 2 6 3 4" xfId="4811"/>
    <cellStyle name="Normal 2 2 6 3 5" xfId="6120"/>
    <cellStyle name="Normal 2 2 6 4" xfId="2558"/>
    <cellStyle name="Normal 2 2 6 5" xfId="3421"/>
    <cellStyle name="Normal 2 2 6 6" xfId="4289"/>
    <cellStyle name="Normal 2 2 6 7" xfId="5192"/>
    <cellStyle name="Normal 2 2 6 8" xfId="5579"/>
    <cellStyle name="Normal 2 2 6_Monthly Price Data Petroleum" xfId="6380"/>
    <cellStyle name="Normal 2 2 7" xfId="1679"/>
    <cellStyle name="Normal 2 2 7 2" xfId="5194"/>
    <cellStyle name="Normal 2 2 7 3" xfId="6399"/>
    <cellStyle name="Normal 2 2 7_Monthly Price Data Petroleum" xfId="5501"/>
    <cellStyle name="Normal 2 2 8" xfId="2304"/>
    <cellStyle name="Normal 2 2 8 2" xfId="3173"/>
    <cellStyle name="Normal 2 2 8 3" xfId="4040"/>
    <cellStyle name="Normal 2 2 8 4" xfId="4919"/>
    <cellStyle name="Normal 2 2 8 5" xfId="6229"/>
    <cellStyle name="Normal 2 2 9" xfId="2397"/>
    <cellStyle name="Normal 2 2 9 2" xfId="3256"/>
    <cellStyle name="Normal 2 2 9 3" xfId="4122"/>
    <cellStyle name="Normal 2 2 9 4" xfId="5001"/>
    <cellStyle name="Normal 2 2 9 5" xfId="6311"/>
    <cellStyle name="Normal 2 2_Monthly Price Data" xfId="2288"/>
    <cellStyle name="Normal 2 3" xfId="1154"/>
    <cellStyle name="Normal 2 3 2" xfId="1536"/>
    <cellStyle name="Normal 2 3 3" xfId="1261"/>
    <cellStyle name="Normal 2 4" xfId="1365"/>
    <cellStyle name="Normal 2 4 10" xfId="4153"/>
    <cellStyle name="Normal 2 4 11" xfId="5195"/>
    <cellStyle name="Normal 2 4 12" xfId="5438"/>
    <cellStyle name="Normal 2 4 2" xfId="1445"/>
    <cellStyle name="Normal 2 4 2 2" xfId="1537"/>
    <cellStyle name="Normal 2 4 2 2 10" xfId="5197"/>
    <cellStyle name="Normal 2 4 2 2 11" xfId="5581"/>
    <cellStyle name="Normal 2 4 2 2 2" xfId="1538"/>
    <cellStyle name="Normal 2 4 2 2 2 10" xfId="5582"/>
    <cellStyle name="Normal 2 4 2 2 2 2" xfId="1539"/>
    <cellStyle name="Normal 2 4 2 2 2 2 2" xfId="1885"/>
    <cellStyle name="Normal 2 4 2 2 2 2 2 2" xfId="2811"/>
    <cellStyle name="Normal 2 4 2 2 2 2 2 3" xfId="3675"/>
    <cellStyle name="Normal 2 4 2 2 2 2 2 4" xfId="4550"/>
    <cellStyle name="Normal 2 4 2 2 2 2 2 5" xfId="5200"/>
    <cellStyle name="Normal 2 4 2 2 2 2 2 6" xfId="5855"/>
    <cellStyle name="Normal 2 4 2 2 2 2 2_Monthly Price Data Petroleum" xfId="5610"/>
    <cellStyle name="Normal 2 4 2 2 2 2 3" xfId="2160"/>
    <cellStyle name="Normal 2 4 2 2 2 2 3 2" xfId="3066"/>
    <cellStyle name="Normal 2 4 2 2 2 2 3 3" xfId="3936"/>
    <cellStyle name="Normal 2 4 2 2 2 2 3 4" xfId="4814"/>
    <cellStyle name="Normal 2 4 2 2 2 2 3 5" xfId="6123"/>
    <cellStyle name="Normal 2 4 2 2 2 2 4" xfId="2561"/>
    <cellStyle name="Normal 2 4 2 2 2 2 5" xfId="3424"/>
    <cellStyle name="Normal 2 4 2 2 2 2 6" xfId="4292"/>
    <cellStyle name="Normal 2 4 2 2 2 2 7" xfId="5199"/>
    <cellStyle name="Normal 2 4 2 2 2 2 8" xfId="5583"/>
    <cellStyle name="Normal 2 4 2 2 2 2_Monthly Price Data Petroleum" xfId="6402"/>
    <cellStyle name="Normal 2 4 2 2 2 3" xfId="1884"/>
    <cellStyle name="Normal 2 4 2 2 2 3 2" xfId="2810"/>
    <cellStyle name="Normal 2 4 2 2 2 3 3" xfId="3674"/>
    <cellStyle name="Normal 2 4 2 2 2 3 4" xfId="4549"/>
    <cellStyle name="Normal 2 4 2 2 2 3 5" xfId="5201"/>
    <cellStyle name="Normal 2 4 2 2 2 3 6" xfId="5854"/>
    <cellStyle name="Normal 2 4 2 2 2 3_Monthly Price Data Petroleum" xfId="6352"/>
    <cellStyle name="Normal 2 4 2 2 2 4" xfId="2159"/>
    <cellStyle name="Normal 2 4 2 2 2 4 2" xfId="3065"/>
    <cellStyle name="Normal 2 4 2 2 2 4 3" xfId="3935"/>
    <cellStyle name="Normal 2 4 2 2 2 4 4" xfId="4813"/>
    <cellStyle name="Normal 2 4 2 2 2 4 5" xfId="6122"/>
    <cellStyle name="Normal 2 4 2 2 2 5" xfId="2392"/>
    <cellStyle name="Normal 2 4 2 2 2 5 2" xfId="3251"/>
    <cellStyle name="Normal 2 4 2 2 2 5 3" xfId="4117"/>
    <cellStyle name="Normal 2 4 2 2 2 5 4" xfId="4996"/>
    <cellStyle name="Normal 2 4 2 2 2 5 5" xfId="6306"/>
    <cellStyle name="Normal 2 4 2 2 2 6" xfId="2560"/>
    <cellStyle name="Normal 2 4 2 2 2 7" xfId="3423"/>
    <cellStyle name="Normal 2 4 2 2 2 8" xfId="4291"/>
    <cellStyle name="Normal 2 4 2 2 2 9" xfId="5198"/>
    <cellStyle name="Normal 2 4 2 2 2_Monthly Price Data" xfId="2277"/>
    <cellStyle name="Normal 2 4 2 2 3" xfId="1540"/>
    <cellStyle name="Normal 2 4 2 2 3 2" xfId="1886"/>
    <cellStyle name="Normal 2 4 2 2 3 2 2" xfId="2812"/>
    <cellStyle name="Normal 2 4 2 2 3 2 3" xfId="3676"/>
    <cellStyle name="Normal 2 4 2 2 3 2 4" xfId="4551"/>
    <cellStyle name="Normal 2 4 2 2 3 2 5" xfId="5203"/>
    <cellStyle name="Normal 2 4 2 2 3 2 6" xfId="5856"/>
    <cellStyle name="Normal 2 4 2 2 3 2_Monthly Price Data Petroleum" xfId="5385"/>
    <cellStyle name="Normal 2 4 2 2 3 3" xfId="2161"/>
    <cellStyle name="Normal 2 4 2 2 3 3 2" xfId="3067"/>
    <cellStyle name="Normal 2 4 2 2 3 3 3" xfId="3937"/>
    <cellStyle name="Normal 2 4 2 2 3 3 4" xfId="4815"/>
    <cellStyle name="Normal 2 4 2 2 3 3 5" xfId="6124"/>
    <cellStyle name="Normal 2 4 2 2 3 4" xfId="2562"/>
    <cellStyle name="Normal 2 4 2 2 3 5" xfId="3425"/>
    <cellStyle name="Normal 2 4 2 2 3 6" xfId="4293"/>
    <cellStyle name="Normal 2 4 2 2 3 7" xfId="5202"/>
    <cellStyle name="Normal 2 4 2 2 3 8" xfId="5584"/>
    <cellStyle name="Normal 2 4 2 2 3_Monthly Price Data Petroleum" xfId="6384"/>
    <cellStyle name="Normal 2 4 2 2 4" xfId="1883"/>
    <cellStyle name="Normal 2 4 2 2 4 2" xfId="2809"/>
    <cellStyle name="Normal 2 4 2 2 4 3" xfId="3673"/>
    <cellStyle name="Normal 2 4 2 2 4 4" xfId="4548"/>
    <cellStyle name="Normal 2 4 2 2 4 5" xfId="5204"/>
    <cellStyle name="Normal 2 4 2 2 4 6" xfId="5853"/>
    <cellStyle name="Normal 2 4 2 2 4_Monthly Price Data Petroleum" xfId="6356"/>
    <cellStyle name="Normal 2 4 2 2 5" xfId="2158"/>
    <cellStyle name="Normal 2 4 2 2 5 2" xfId="3064"/>
    <cellStyle name="Normal 2 4 2 2 5 3" xfId="3934"/>
    <cellStyle name="Normal 2 4 2 2 5 4" xfId="4812"/>
    <cellStyle name="Normal 2 4 2 2 5 5" xfId="6121"/>
    <cellStyle name="Normal 2 4 2 2 6" xfId="2348"/>
    <cellStyle name="Normal 2 4 2 2 6 2" xfId="3207"/>
    <cellStyle name="Normal 2 4 2 2 6 3" xfId="4073"/>
    <cellStyle name="Normal 2 4 2 2 6 4" xfId="4952"/>
    <cellStyle name="Normal 2 4 2 2 6 5" xfId="6262"/>
    <cellStyle name="Normal 2 4 2 2 7" xfId="2559"/>
    <cellStyle name="Normal 2 4 2 2 8" xfId="3422"/>
    <cellStyle name="Normal 2 4 2 2 9" xfId="4290"/>
    <cellStyle name="Normal 2 4 2 2_Monthly Price Data" xfId="2262"/>
    <cellStyle name="Normal 2 4 2 3" xfId="1541"/>
    <cellStyle name="Normal 2 4 2 3 10" xfId="5585"/>
    <cellStyle name="Normal 2 4 2 3 2" xfId="1542"/>
    <cellStyle name="Normal 2 4 2 3 2 2" xfId="1888"/>
    <cellStyle name="Normal 2 4 2 3 2 2 2" xfId="2814"/>
    <cellStyle name="Normal 2 4 2 3 2 2 3" xfId="3678"/>
    <cellStyle name="Normal 2 4 2 3 2 2 4" xfId="4553"/>
    <cellStyle name="Normal 2 4 2 3 2 2 5" xfId="5207"/>
    <cellStyle name="Normal 2 4 2 3 2 2 6" xfId="5858"/>
    <cellStyle name="Normal 2 4 2 3 2 2_Monthly Price Data Petroleum" xfId="5421"/>
    <cellStyle name="Normal 2 4 2 3 2 3" xfId="2163"/>
    <cellStyle name="Normal 2 4 2 3 2 3 2" xfId="3069"/>
    <cellStyle name="Normal 2 4 2 3 2 3 3" xfId="3939"/>
    <cellStyle name="Normal 2 4 2 3 2 3 4" xfId="4817"/>
    <cellStyle name="Normal 2 4 2 3 2 3 5" xfId="6126"/>
    <cellStyle name="Normal 2 4 2 3 2 4" xfId="2564"/>
    <cellStyle name="Normal 2 4 2 3 2 5" xfId="3427"/>
    <cellStyle name="Normal 2 4 2 3 2 6" xfId="4295"/>
    <cellStyle name="Normal 2 4 2 3 2 7" xfId="5206"/>
    <cellStyle name="Normal 2 4 2 3 2 8" xfId="5586"/>
    <cellStyle name="Normal 2 4 2 3 2_Monthly Price Data Petroleum" xfId="6350"/>
    <cellStyle name="Normal 2 4 2 3 3" xfId="1887"/>
    <cellStyle name="Normal 2 4 2 3 3 2" xfId="2813"/>
    <cellStyle name="Normal 2 4 2 3 3 3" xfId="3677"/>
    <cellStyle name="Normal 2 4 2 3 3 4" xfId="4552"/>
    <cellStyle name="Normal 2 4 2 3 3 5" xfId="5208"/>
    <cellStyle name="Normal 2 4 2 3 3 6" xfId="5857"/>
    <cellStyle name="Normal 2 4 2 3 3_Monthly Price Data Petroleum" xfId="6365"/>
    <cellStyle name="Normal 2 4 2 3 4" xfId="2162"/>
    <cellStyle name="Normal 2 4 2 3 4 2" xfId="3068"/>
    <cellStyle name="Normal 2 4 2 3 4 3" xfId="3938"/>
    <cellStyle name="Normal 2 4 2 3 4 4" xfId="4816"/>
    <cellStyle name="Normal 2 4 2 3 4 5" xfId="6125"/>
    <cellStyle name="Normal 2 4 2 3 5" xfId="2370"/>
    <cellStyle name="Normal 2 4 2 3 5 2" xfId="3229"/>
    <cellStyle name="Normal 2 4 2 3 5 3" xfId="4095"/>
    <cellStyle name="Normal 2 4 2 3 5 4" xfId="4974"/>
    <cellStyle name="Normal 2 4 2 3 5 5" xfId="6284"/>
    <cellStyle name="Normal 2 4 2 3 6" xfId="2563"/>
    <cellStyle name="Normal 2 4 2 3 7" xfId="3426"/>
    <cellStyle name="Normal 2 4 2 3 8" xfId="4294"/>
    <cellStyle name="Normal 2 4 2 3 9" xfId="5205"/>
    <cellStyle name="Normal 2 4 2 3_Monthly Price Data" xfId="2298"/>
    <cellStyle name="Normal 2 4 2 4" xfId="1543"/>
    <cellStyle name="Normal 2 4 2 4 2" xfId="1889"/>
    <cellStyle name="Normal 2 4 2 4 2 2" xfId="2815"/>
    <cellStyle name="Normal 2 4 2 4 2 3" xfId="3679"/>
    <cellStyle name="Normal 2 4 2 4 2 4" xfId="4554"/>
    <cellStyle name="Normal 2 4 2 4 2 5" xfId="5210"/>
    <cellStyle name="Normal 2 4 2 4 2 6" xfId="5859"/>
    <cellStyle name="Normal 2 4 2 4 2_Monthly Price Data Petroleum" xfId="6315"/>
    <cellStyle name="Normal 2 4 2 4 3" xfId="2164"/>
    <cellStyle name="Normal 2 4 2 4 3 2" xfId="3070"/>
    <cellStyle name="Normal 2 4 2 4 3 3" xfId="3940"/>
    <cellStyle name="Normal 2 4 2 4 3 4" xfId="4818"/>
    <cellStyle name="Normal 2 4 2 4 3 5" xfId="6127"/>
    <cellStyle name="Normal 2 4 2 4 4" xfId="2565"/>
    <cellStyle name="Normal 2 4 2 4 5" xfId="3428"/>
    <cellStyle name="Normal 2 4 2 4 6" xfId="4296"/>
    <cellStyle name="Normal 2 4 2 4 7" xfId="5209"/>
    <cellStyle name="Normal 2 4 2 4 8" xfId="5587"/>
    <cellStyle name="Normal 2 4 2 4_Monthly Price Data Petroleum" xfId="5482"/>
    <cellStyle name="Normal 2 4 2 5" xfId="2326"/>
    <cellStyle name="Normal 2 4 2 5 2" xfId="3185"/>
    <cellStyle name="Normal 2 4 2 5 3" xfId="4051"/>
    <cellStyle name="Normal 2 4 2 5 4" xfId="4930"/>
    <cellStyle name="Normal 2 4 2 5 5" xfId="5211"/>
    <cellStyle name="Normal 2 4 2 5 6" xfId="6240"/>
    <cellStyle name="Normal 2 4 2 5_Monthly Price Data Petroleum" xfId="6327"/>
    <cellStyle name="Normal 2 4 2 6" xfId="5196"/>
    <cellStyle name="Normal 2 4 2_Monthly Price Data" xfId="2275"/>
    <cellStyle name="Normal 2 4 3" xfId="1544"/>
    <cellStyle name="Normal 2 4 3 10" xfId="5212"/>
    <cellStyle name="Normal 2 4 3 11" xfId="5588"/>
    <cellStyle name="Normal 2 4 3 2" xfId="1545"/>
    <cellStyle name="Normal 2 4 3 2 10" xfId="5589"/>
    <cellStyle name="Normal 2 4 3 2 2" xfId="1546"/>
    <cellStyle name="Normal 2 4 3 2 2 2" xfId="1892"/>
    <cellStyle name="Normal 2 4 3 2 2 2 2" xfId="2818"/>
    <cellStyle name="Normal 2 4 3 2 2 2 3" xfId="3682"/>
    <cellStyle name="Normal 2 4 3 2 2 2 4" xfId="4557"/>
    <cellStyle name="Normal 2 4 3 2 2 2 5" xfId="5215"/>
    <cellStyle name="Normal 2 4 3 2 2 2 6" xfId="5862"/>
    <cellStyle name="Normal 2 4 3 2 2 2_Monthly Price Data Petroleum" xfId="6379"/>
    <cellStyle name="Normal 2 4 3 2 2 3" xfId="2167"/>
    <cellStyle name="Normal 2 4 3 2 2 3 2" xfId="3073"/>
    <cellStyle name="Normal 2 4 3 2 2 3 3" xfId="3943"/>
    <cellStyle name="Normal 2 4 3 2 2 3 4" xfId="4821"/>
    <cellStyle name="Normal 2 4 3 2 2 3 5" xfId="6130"/>
    <cellStyle name="Normal 2 4 3 2 2 4" xfId="2568"/>
    <cellStyle name="Normal 2 4 3 2 2 5" xfId="3431"/>
    <cellStyle name="Normal 2 4 3 2 2 6" xfId="4299"/>
    <cellStyle name="Normal 2 4 3 2 2 7" xfId="5214"/>
    <cellStyle name="Normal 2 4 3 2 2 8" xfId="5590"/>
    <cellStyle name="Normal 2 4 3 2 2_Monthly Price Data Petroleum" xfId="5941"/>
    <cellStyle name="Normal 2 4 3 2 3" xfId="1891"/>
    <cellStyle name="Normal 2 4 3 2 3 2" xfId="2817"/>
    <cellStyle name="Normal 2 4 3 2 3 3" xfId="3681"/>
    <cellStyle name="Normal 2 4 3 2 3 4" xfId="4556"/>
    <cellStyle name="Normal 2 4 3 2 3 5" xfId="5216"/>
    <cellStyle name="Normal 2 4 3 2 3 6" xfId="5861"/>
    <cellStyle name="Normal 2 4 3 2 3_Monthly Price Data Petroleum" xfId="6314"/>
    <cellStyle name="Normal 2 4 3 2 4" xfId="2166"/>
    <cellStyle name="Normal 2 4 3 2 4 2" xfId="3072"/>
    <cellStyle name="Normal 2 4 3 2 4 3" xfId="3942"/>
    <cellStyle name="Normal 2 4 3 2 4 4" xfId="4820"/>
    <cellStyle name="Normal 2 4 3 2 4 5" xfId="6129"/>
    <cellStyle name="Normal 2 4 3 2 5" xfId="2379"/>
    <cellStyle name="Normal 2 4 3 2 5 2" xfId="3238"/>
    <cellStyle name="Normal 2 4 3 2 5 3" xfId="4104"/>
    <cellStyle name="Normal 2 4 3 2 5 4" xfId="4983"/>
    <cellStyle name="Normal 2 4 3 2 5 5" xfId="6293"/>
    <cellStyle name="Normal 2 4 3 2 6" xfId="2567"/>
    <cellStyle name="Normal 2 4 3 2 7" xfId="3430"/>
    <cellStyle name="Normal 2 4 3 2 8" xfId="4298"/>
    <cellStyle name="Normal 2 4 3 2 9" xfId="5213"/>
    <cellStyle name="Normal 2 4 3 2_Monthly Price Data" xfId="2282"/>
    <cellStyle name="Normal 2 4 3 3" xfId="1547"/>
    <cellStyle name="Normal 2 4 3 3 2" xfId="1893"/>
    <cellStyle name="Normal 2 4 3 3 2 2" xfId="2819"/>
    <cellStyle name="Normal 2 4 3 3 2 3" xfId="3683"/>
    <cellStyle name="Normal 2 4 3 3 2 4" xfId="4558"/>
    <cellStyle name="Normal 2 4 3 3 2 5" xfId="5218"/>
    <cellStyle name="Normal 2 4 3 3 2 6" xfId="5863"/>
    <cellStyle name="Normal 2 4 3 3 2_Monthly Price Data Petroleum" xfId="6319"/>
    <cellStyle name="Normal 2 4 3 3 3" xfId="2168"/>
    <cellStyle name="Normal 2 4 3 3 3 2" xfId="3074"/>
    <cellStyle name="Normal 2 4 3 3 3 3" xfId="3944"/>
    <cellStyle name="Normal 2 4 3 3 3 4" xfId="4822"/>
    <cellStyle name="Normal 2 4 3 3 3 5" xfId="6131"/>
    <cellStyle name="Normal 2 4 3 3 4" xfId="2569"/>
    <cellStyle name="Normal 2 4 3 3 5" xfId="3432"/>
    <cellStyle name="Normal 2 4 3 3 6" xfId="4300"/>
    <cellStyle name="Normal 2 4 3 3 7" xfId="5217"/>
    <cellStyle name="Normal 2 4 3 3 8" xfId="5591"/>
    <cellStyle name="Normal 2 4 3 3_Monthly Price Data Petroleum" xfId="5436"/>
    <cellStyle name="Normal 2 4 3 4" xfId="1890"/>
    <cellStyle name="Normal 2 4 3 4 2" xfId="2816"/>
    <cellStyle name="Normal 2 4 3 4 3" xfId="3680"/>
    <cellStyle name="Normal 2 4 3 4 4" xfId="4555"/>
    <cellStyle name="Normal 2 4 3 4 5" xfId="5219"/>
    <cellStyle name="Normal 2 4 3 4 6" xfId="5860"/>
    <cellStyle name="Normal 2 4 3 4_Monthly Price Data Petroleum" xfId="6376"/>
    <cellStyle name="Normal 2 4 3 5" xfId="2165"/>
    <cellStyle name="Normal 2 4 3 5 2" xfId="3071"/>
    <cellStyle name="Normal 2 4 3 5 3" xfId="3941"/>
    <cellStyle name="Normal 2 4 3 5 4" xfId="4819"/>
    <cellStyle name="Normal 2 4 3 5 5" xfId="6128"/>
    <cellStyle name="Normal 2 4 3 6" xfId="2335"/>
    <cellStyle name="Normal 2 4 3 6 2" xfId="3194"/>
    <cellStyle name="Normal 2 4 3 6 3" xfId="4060"/>
    <cellStyle name="Normal 2 4 3 6 4" xfId="4939"/>
    <cellStyle name="Normal 2 4 3 6 5" xfId="6249"/>
    <cellStyle name="Normal 2 4 3 7" xfId="2566"/>
    <cellStyle name="Normal 2 4 3 8" xfId="3429"/>
    <cellStyle name="Normal 2 4 3 9" xfId="4297"/>
    <cellStyle name="Normal 2 4 3_Monthly Price Data" xfId="2280"/>
    <cellStyle name="Normal 2 4 4" xfId="1548"/>
    <cellStyle name="Normal 2 4 4 10" xfId="5592"/>
    <cellStyle name="Normal 2 4 4 2" xfId="1549"/>
    <cellStyle name="Normal 2 4 4 2 2" xfId="1895"/>
    <cellStyle name="Normal 2 4 4 2 2 2" xfId="2821"/>
    <cellStyle name="Normal 2 4 4 2 2 3" xfId="3685"/>
    <cellStyle name="Normal 2 4 4 2 2 4" xfId="4560"/>
    <cellStyle name="Normal 2 4 4 2 2 5" xfId="5222"/>
    <cellStyle name="Normal 2 4 4 2 2 6" xfId="5865"/>
    <cellStyle name="Normal 2 4 4 2 2_Monthly Price Data Petroleum" xfId="6318"/>
    <cellStyle name="Normal 2 4 4 2 3" xfId="2170"/>
    <cellStyle name="Normal 2 4 4 2 3 2" xfId="3076"/>
    <cellStyle name="Normal 2 4 4 2 3 3" xfId="3946"/>
    <cellStyle name="Normal 2 4 4 2 3 4" xfId="4824"/>
    <cellStyle name="Normal 2 4 4 2 3 5" xfId="6133"/>
    <cellStyle name="Normal 2 4 4 2 4" xfId="2571"/>
    <cellStyle name="Normal 2 4 4 2 5" xfId="3434"/>
    <cellStyle name="Normal 2 4 4 2 6" xfId="4302"/>
    <cellStyle name="Normal 2 4 4 2 7" xfId="5221"/>
    <cellStyle name="Normal 2 4 4 2 8" xfId="5593"/>
    <cellStyle name="Normal 2 4 4 2_Monthly Price Data Petroleum" xfId="6367"/>
    <cellStyle name="Normal 2 4 4 3" xfId="1894"/>
    <cellStyle name="Normal 2 4 4 3 2" xfId="2820"/>
    <cellStyle name="Normal 2 4 4 3 3" xfId="3684"/>
    <cellStyle name="Normal 2 4 4 3 4" xfId="4559"/>
    <cellStyle name="Normal 2 4 4 3 5" xfId="5223"/>
    <cellStyle name="Normal 2 4 4 3 6" xfId="5864"/>
    <cellStyle name="Normal 2 4 4 3_Monthly Price Data Petroleum" xfId="6355"/>
    <cellStyle name="Normal 2 4 4 4" xfId="2169"/>
    <cellStyle name="Normal 2 4 4 4 2" xfId="3075"/>
    <cellStyle name="Normal 2 4 4 4 3" xfId="3945"/>
    <cellStyle name="Normal 2 4 4 4 4" xfId="4823"/>
    <cellStyle name="Normal 2 4 4 4 5" xfId="6132"/>
    <cellStyle name="Normal 2 4 4 5" xfId="2357"/>
    <cellStyle name="Normal 2 4 4 5 2" xfId="3216"/>
    <cellStyle name="Normal 2 4 4 5 3" xfId="4082"/>
    <cellStyle name="Normal 2 4 4 5 4" xfId="4961"/>
    <cellStyle name="Normal 2 4 4 5 5" xfId="6271"/>
    <cellStyle name="Normal 2 4 4 6" xfId="2570"/>
    <cellStyle name="Normal 2 4 4 7" xfId="3433"/>
    <cellStyle name="Normal 2 4 4 8" xfId="4301"/>
    <cellStyle name="Normal 2 4 4 9" xfId="5220"/>
    <cellStyle name="Normal 2 4 4_Monthly Price Data" xfId="2284"/>
    <cellStyle name="Normal 2 4 5" xfId="1550"/>
    <cellStyle name="Normal 2 4 5 2" xfId="1896"/>
    <cellStyle name="Normal 2 4 5 2 2" xfId="2822"/>
    <cellStyle name="Normal 2 4 5 2 3" xfId="3686"/>
    <cellStyle name="Normal 2 4 5 2 4" xfId="4561"/>
    <cellStyle name="Normal 2 4 5 2 5" xfId="5225"/>
    <cellStyle name="Normal 2 4 5 2 6" xfId="5866"/>
    <cellStyle name="Normal 2 4 5 2_Monthly Price Data Petroleum" xfId="6359"/>
    <cellStyle name="Normal 2 4 5 3" xfId="2171"/>
    <cellStyle name="Normal 2 4 5 3 2" xfId="3077"/>
    <cellStyle name="Normal 2 4 5 3 3" xfId="3947"/>
    <cellStyle name="Normal 2 4 5 3 4" xfId="4825"/>
    <cellStyle name="Normal 2 4 5 3 5" xfId="6134"/>
    <cellStyle name="Normal 2 4 5 4" xfId="2572"/>
    <cellStyle name="Normal 2 4 5 5" xfId="3435"/>
    <cellStyle name="Normal 2 4 5 6" xfId="4303"/>
    <cellStyle name="Normal 2 4 5 7" xfId="5224"/>
    <cellStyle name="Normal 2 4 5 8" xfId="5594"/>
    <cellStyle name="Normal 2 4 5_Monthly Price Data Petroleum" xfId="6403"/>
    <cellStyle name="Normal 2 4 6" xfId="1736"/>
    <cellStyle name="Normal 2 4 6 2" xfId="2026"/>
    <cellStyle name="Normal 2 4 6 2 2" xfId="2932"/>
    <cellStyle name="Normal 2 4 6 2 3" xfId="3799"/>
    <cellStyle name="Normal 2 4 6 2 4" xfId="4677"/>
    <cellStyle name="Normal 2 4 6 2 5" xfId="5986"/>
    <cellStyle name="Normal 2 4 6 3" xfId="2677"/>
    <cellStyle name="Normal 2 4 6 4" xfId="3541"/>
    <cellStyle name="Normal 2 4 6 5" xfId="4413"/>
    <cellStyle name="Normal 2 4 6 6" xfId="5226"/>
    <cellStyle name="Normal 2 4 6 7" xfId="5717"/>
    <cellStyle name="Normal 2 4 6_Monthly Price Data Petroleum" xfId="5691"/>
    <cellStyle name="Normal 2 4 7" xfId="2317"/>
    <cellStyle name="Normal 2 4 7 2" xfId="3176"/>
    <cellStyle name="Normal 2 4 7 3" xfId="4042"/>
    <cellStyle name="Normal 2 4 7 4" xfId="4921"/>
    <cellStyle name="Normal 2 4 7 5" xfId="6231"/>
    <cellStyle name="Normal 2 4 8" xfId="2426"/>
    <cellStyle name="Normal 2 4 9" xfId="3285"/>
    <cellStyle name="Normal 2 4_Comparison 2015 and 2016" xfId="6610"/>
    <cellStyle name="Normal 2 5" xfId="1451"/>
    <cellStyle name="Normal 2 5 2" xfId="1551"/>
    <cellStyle name="Normal 2 5 2 10" xfId="3436"/>
    <cellStyle name="Normal 2 5 2 11" xfId="4304"/>
    <cellStyle name="Normal 2 5 2 12" xfId="5228"/>
    <cellStyle name="Normal 2 5 2 13" xfId="5595"/>
    <cellStyle name="Normal 2 5 2 2" xfId="1552"/>
    <cellStyle name="Normal 2 5 2 2 10" xfId="5229"/>
    <cellStyle name="Normal 2 5 2 2 11" xfId="5596"/>
    <cellStyle name="Normal 2 5 2 2 2" xfId="1553"/>
    <cellStyle name="Normal 2 5 2 2 2 10" xfId="5597"/>
    <cellStyle name="Normal 2 5 2 2 2 2" xfId="1554"/>
    <cellStyle name="Normal 2 5 2 2 2 2 2" xfId="1900"/>
    <cellStyle name="Normal 2 5 2 2 2 2 2 2" xfId="2826"/>
    <cellStyle name="Normal 2 5 2 2 2 2 2 3" xfId="3690"/>
    <cellStyle name="Normal 2 5 2 2 2 2 2 4" xfId="4565"/>
    <cellStyle name="Normal 2 5 2 2 2 2 2 5" xfId="5232"/>
    <cellStyle name="Normal 2 5 2 2 2 2 2 6" xfId="5870"/>
    <cellStyle name="Normal 2 5 2 2 2 2 2_Monthly Price Data Petroleum" xfId="5394"/>
    <cellStyle name="Normal 2 5 2 2 2 2 3" xfId="2175"/>
    <cellStyle name="Normal 2 5 2 2 2 2 3 2" xfId="3081"/>
    <cellStyle name="Normal 2 5 2 2 2 2 3 3" xfId="3951"/>
    <cellStyle name="Normal 2 5 2 2 2 2 3 4" xfId="4829"/>
    <cellStyle name="Normal 2 5 2 2 2 2 3 5" xfId="6138"/>
    <cellStyle name="Normal 2 5 2 2 2 2 4" xfId="2576"/>
    <cellStyle name="Normal 2 5 2 2 2 2 5" xfId="3439"/>
    <cellStyle name="Normal 2 5 2 2 2 2 6" xfId="4307"/>
    <cellStyle name="Normal 2 5 2 2 2 2 7" xfId="5231"/>
    <cellStyle name="Normal 2 5 2 2 2 2 8" xfId="5598"/>
    <cellStyle name="Normal 2 5 2 2 2 2_Monthly Price Data Petroleum" xfId="6363"/>
    <cellStyle name="Normal 2 5 2 2 2 3" xfId="1899"/>
    <cellStyle name="Normal 2 5 2 2 2 3 2" xfId="2825"/>
    <cellStyle name="Normal 2 5 2 2 2 3 3" xfId="3689"/>
    <cellStyle name="Normal 2 5 2 2 2 3 4" xfId="4564"/>
    <cellStyle name="Normal 2 5 2 2 2 3 5" xfId="5233"/>
    <cellStyle name="Normal 2 5 2 2 2 3 6" xfId="5869"/>
    <cellStyle name="Normal 2 5 2 2 2 3_Monthly Price Data Petroleum" xfId="6395"/>
    <cellStyle name="Normal 2 5 2 2 2 4" xfId="2174"/>
    <cellStyle name="Normal 2 5 2 2 2 4 2" xfId="3080"/>
    <cellStyle name="Normal 2 5 2 2 2 4 3" xfId="3950"/>
    <cellStyle name="Normal 2 5 2 2 2 4 4" xfId="4828"/>
    <cellStyle name="Normal 2 5 2 2 2 4 5" xfId="6137"/>
    <cellStyle name="Normal 2 5 2 2 2 5" xfId="2394"/>
    <cellStyle name="Normal 2 5 2 2 2 5 2" xfId="3253"/>
    <cellStyle name="Normal 2 5 2 2 2 5 3" xfId="4119"/>
    <cellStyle name="Normal 2 5 2 2 2 5 4" xfId="4998"/>
    <cellStyle name="Normal 2 5 2 2 2 5 5" xfId="6308"/>
    <cellStyle name="Normal 2 5 2 2 2 6" xfId="2575"/>
    <cellStyle name="Normal 2 5 2 2 2 7" xfId="3438"/>
    <cellStyle name="Normal 2 5 2 2 2 8" xfId="4306"/>
    <cellStyle name="Normal 2 5 2 2 2 9" xfId="5230"/>
    <cellStyle name="Normal 2 5 2 2 2_Monthly Price Data" xfId="2295"/>
    <cellStyle name="Normal 2 5 2 2 3" xfId="1555"/>
    <cellStyle name="Normal 2 5 2 2 3 2" xfId="1901"/>
    <cellStyle name="Normal 2 5 2 2 3 2 2" xfId="2827"/>
    <cellStyle name="Normal 2 5 2 2 3 2 3" xfId="3691"/>
    <cellStyle name="Normal 2 5 2 2 3 2 4" xfId="4566"/>
    <cellStyle name="Normal 2 5 2 2 3 2 5" xfId="5235"/>
    <cellStyle name="Normal 2 5 2 2 3 2 6" xfId="5871"/>
    <cellStyle name="Normal 2 5 2 2 3 2_Monthly Price Data Petroleum" xfId="6332"/>
    <cellStyle name="Normal 2 5 2 2 3 3" xfId="2176"/>
    <cellStyle name="Normal 2 5 2 2 3 3 2" xfId="3082"/>
    <cellStyle name="Normal 2 5 2 2 3 3 3" xfId="3952"/>
    <cellStyle name="Normal 2 5 2 2 3 3 4" xfId="4830"/>
    <cellStyle name="Normal 2 5 2 2 3 3 5" xfId="6139"/>
    <cellStyle name="Normal 2 5 2 2 3 4" xfId="2577"/>
    <cellStyle name="Normal 2 5 2 2 3 5" xfId="3440"/>
    <cellStyle name="Normal 2 5 2 2 3 6" xfId="4308"/>
    <cellStyle name="Normal 2 5 2 2 3 7" xfId="5234"/>
    <cellStyle name="Normal 2 5 2 2 3 8" xfId="5599"/>
    <cellStyle name="Normal 2 5 2 2 3_Monthly Price Data Petroleum" xfId="6358"/>
    <cellStyle name="Normal 2 5 2 2 4" xfId="1898"/>
    <cellStyle name="Normal 2 5 2 2 4 2" xfId="2824"/>
    <cellStyle name="Normal 2 5 2 2 4 3" xfId="3688"/>
    <cellStyle name="Normal 2 5 2 2 4 4" xfId="4563"/>
    <cellStyle name="Normal 2 5 2 2 4 5" xfId="5236"/>
    <cellStyle name="Normal 2 5 2 2 4 6" xfId="5868"/>
    <cellStyle name="Normal 2 5 2 2 4_Monthly Price Data Petroleum" xfId="6347"/>
    <cellStyle name="Normal 2 5 2 2 5" xfId="2173"/>
    <cellStyle name="Normal 2 5 2 2 5 2" xfId="3079"/>
    <cellStyle name="Normal 2 5 2 2 5 3" xfId="3949"/>
    <cellStyle name="Normal 2 5 2 2 5 4" xfId="4827"/>
    <cellStyle name="Normal 2 5 2 2 5 5" xfId="6136"/>
    <cellStyle name="Normal 2 5 2 2 6" xfId="2350"/>
    <cellStyle name="Normal 2 5 2 2 6 2" xfId="3209"/>
    <cellStyle name="Normal 2 5 2 2 6 3" xfId="4075"/>
    <cellStyle name="Normal 2 5 2 2 6 4" xfId="4954"/>
    <cellStyle name="Normal 2 5 2 2 6 5" xfId="6264"/>
    <cellStyle name="Normal 2 5 2 2 7" xfId="2574"/>
    <cellStyle name="Normal 2 5 2 2 8" xfId="3437"/>
    <cellStyle name="Normal 2 5 2 2 9" xfId="4305"/>
    <cellStyle name="Normal 2 5 2 2_Monthly Price Data" xfId="2293"/>
    <cellStyle name="Normal 2 5 2 3" xfId="1556"/>
    <cellStyle name="Normal 2 5 2 3 10" xfId="5600"/>
    <cellStyle name="Normal 2 5 2 3 2" xfId="1557"/>
    <cellStyle name="Normal 2 5 2 3 2 2" xfId="1903"/>
    <cellStyle name="Normal 2 5 2 3 2 2 2" xfId="2829"/>
    <cellStyle name="Normal 2 5 2 3 2 2 3" xfId="3693"/>
    <cellStyle name="Normal 2 5 2 3 2 2 4" xfId="4568"/>
    <cellStyle name="Normal 2 5 2 3 2 2 5" xfId="5239"/>
    <cellStyle name="Normal 2 5 2 3 2 2 6" xfId="5873"/>
    <cellStyle name="Normal 2 5 2 3 2 2_Monthly Price Data Petroleum" xfId="6316"/>
    <cellStyle name="Normal 2 5 2 3 2 3" xfId="2178"/>
    <cellStyle name="Normal 2 5 2 3 2 3 2" xfId="3084"/>
    <cellStyle name="Normal 2 5 2 3 2 3 3" xfId="3954"/>
    <cellStyle name="Normal 2 5 2 3 2 3 4" xfId="4832"/>
    <cellStyle name="Normal 2 5 2 3 2 3 5" xfId="6141"/>
    <cellStyle name="Normal 2 5 2 3 2 4" xfId="2579"/>
    <cellStyle name="Normal 2 5 2 3 2 5" xfId="3442"/>
    <cellStyle name="Normal 2 5 2 3 2 6" xfId="4310"/>
    <cellStyle name="Normal 2 5 2 3 2 7" xfId="5238"/>
    <cellStyle name="Normal 2 5 2 3 2 8" xfId="5601"/>
    <cellStyle name="Normal 2 5 2 3 2_Monthly Price Data Petroleum" xfId="5403"/>
    <cellStyle name="Normal 2 5 2 3 3" xfId="1902"/>
    <cellStyle name="Normal 2 5 2 3 3 2" xfId="2828"/>
    <cellStyle name="Normal 2 5 2 3 3 3" xfId="3692"/>
    <cellStyle name="Normal 2 5 2 3 3 4" xfId="4567"/>
    <cellStyle name="Normal 2 5 2 3 3 5" xfId="5240"/>
    <cellStyle name="Normal 2 5 2 3 3 6" xfId="5872"/>
    <cellStyle name="Normal 2 5 2 3 3_Monthly Price Data Petroleum" xfId="6368"/>
    <cellStyle name="Normal 2 5 2 3 4" xfId="2177"/>
    <cellStyle name="Normal 2 5 2 3 4 2" xfId="3083"/>
    <cellStyle name="Normal 2 5 2 3 4 3" xfId="3953"/>
    <cellStyle name="Normal 2 5 2 3 4 4" xfId="4831"/>
    <cellStyle name="Normal 2 5 2 3 4 5" xfId="6140"/>
    <cellStyle name="Normal 2 5 2 3 5" xfId="2372"/>
    <cellStyle name="Normal 2 5 2 3 5 2" xfId="3231"/>
    <cellStyle name="Normal 2 5 2 3 5 3" xfId="4097"/>
    <cellStyle name="Normal 2 5 2 3 5 4" xfId="4976"/>
    <cellStyle name="Normal 2 5 2 3 5 5" xfId="6286"/>
    <cellStyle name="Normal 2 5 2 3 6" xfId="2578"/>
    <cellStyle name="Normal 2 5 2 3 7" xfId="3441"/>
    <cellStyle name="Normal 2 5 2 3 8" xfId="4309"/>
    <cellStyle name="Normal 2 5 2 3 9" xfId="5237"/>
    <cellStyle name="Normal 2 5 2 3_Monthly Price Data" xfId="2297"/>
    <cellStyle name="Normal 2 5 2 4" xfId="1558"/>
    <cellStyle name="Normal 2 5 2 4 2" xfId="1904"/>
    <cellStyle name="Normal 2 5 2 4 2 2" xfId="2830"/>
    <cellStyle name="Normal 2 5 2 4 2 3" xfId="3694"/>
    <cellStyle name="Normal 2 5 2 4 2 4" xfId="4569"/>
    <cellStyle name="Normal 2 5 2 4 2 5" xfId="5242"/>
    <cellStyle name="Normal 2 5 2 4 2 6" xfId="5874"/>
    <cellStyle name="Normal 2 5 2 4 2_Monthly Price Data Petroleum" xfId="5418"/>
    <cellStyle name="Normal 2 5 2 4 3" xfId="2179"/>
    <cellStyle name="Normal 2 5 2 4 3 2" xfId="3085"/>
    <cellStyle name="Normal 2 5 2 4 3 3" xfId="3955"/>
    <cellStyle name="Normal 2 5 2 4 3 4" xfId="4833"/>
    <cellStyle name="Normal 2 5 2 4 3 5" xfId="6142"/>
    <cellStyle name="Normal 2 5 2 4 4" xfId="2580"/>
    <cellStyle name="Normal 2 5 2 4 5" xfId="3443"/>
    <cellStyle name="Normal 2 5 2 4 6" xfId="4311"/>
    <cellStyle name="Normal 2 5 2 4 7" xfId="5241"/>
    <cellStyle name="Normal 2 5 2 4 8" xfId="5602"/>
    <cellStyle name="Normal 2 5 2 4_Monthly Price Data Petroleum" xfId="6353"/>
    <cellStyle name="Normal 2 5 2 5" xfId="1989"/>
    <cellStyle name="Normal 2 5 2 5 2" xfId="5243"/>
    <cellStyle name="Normal 2 5 2 5 3" xfId="6337"/>
    <cellStyle name="Normal 2 5 2 5_Monthly Price Data Petroleum" xfId="6362"/>
    <cellStyle name="Normal 2 5 2 6" xfId="1897"/>
    <cellStyle name="Normal 2 5 2 6 2" xfId="2823"/>
    <cellStyle name="Normal 2 5 2 6 3" xfId="3687"/>
    <cellStyle name="Normal 2 5 2 6 4" xfId="4562"/>
    <cellStyle name="Normal 2 5 2 6 5" xfId="5867"/>
    <cellStyle name="Normal 2 5 2 7" xfId="2172"/>
    <cellStyle name="Normal 2 5 2 7 2" xfId="3078"/>
    <cellStyle name="Normal 2 5 2 7 3" xfId="3948"/>
    <cellStyle name="Normal 2 5 2 7 4" xfId="4826"/>
    <cellStyle name="Normal 2 5 2 7 5" xfId="6135"/>
    <cellStyle name="Normal 2 5 2 8" xfId="2328"/>
    <cellStyle name="Normal 2 5 2 8 2" xfId="3187"/>
    <cellStyle name="Normal 2 5 2 8 3" xfId="4053"/>
    <cellStyle name="Normal 2 5 2 8 4" xfId="4932"/>
    <cellStyle name="Normal 2 5 2 8 5" xfId="6242"/>
    <cellStyle name="Normal 2 5 2 9" xfId="2573"/>
    <cellStyle name="Normal 2 5 2_Monthly Price Data" xfId="2291"/>
    <cellStyle name="Normal 2 5 3" xfId="1559"/>
    <cellStyle name="Normal 2 5 3 10" xfId="4312"/>
    <cellStyle name="Normal 2 5 3 11" xfId="5244"/>
    <cellStyle name="Normal 2 5 3 12" xfId="5603"/>
    <cellStyle name="Normal 2 5 3 2" xfId="1560"/>
    <cellStyle name="Normal 2 5 3 2 10" xfId="5604"/>
    <cellStyle name="Normal 2 5 3 2 2" xfId="1561"/>
    <cellStyle name="Normal 2 5 3 2 2 2" xfId="1907"/>
    <cellStyle name="Normal 2 5 3 2 2 2 2" xfId="2833"/>
    <cellStyle name="Normal 2 5 3 2 2 2 3" xfId="3697"/>
    <cellStyle name="Normal 2 5 3 2 2 2 4" xfId="4572"/>
    <cellStyle name="Normal 2 5 3 2 2 2 5" xfId="5247"/>
    <cellStyle name="Normal 2 5 3 2 2 2 6" xfId="5877"/>
    <cellStyle name="Normal 2 5 3 2 2 2_Monthly Price Data Petroleum" xfId="6393"/>
    <cellStyle name="Normal 2 5 3 2 2 3" xfId="2182"/>
    <cellStyle name="Normal 2 5 3 2 2 3 2" xfId="3088"/>
    <cellStyle name="Normal 2 5 3 2 2 3 3" xfId="3958"/>
    <cellStyle name="Normal 2 5 3 2 2 3 4" xfId="4836"/>
    <cellStyle name="Normal 2 5 3 2 2 3 5" xfId="6145"/>
    <cellStyle name="Normal 2 5 3 2 2 4" xfId="2583"/>
    <cellStyle name="Normal 2 5 3 2 2 5" xfId="3446"/>
    <cellStyle name="Normal 2 5 3 2 2 6" xfId="4314"/>
    <cellStyle name="Normal 2 5 3 2 2 7" xfId="5246"/>
    <cellStyle name="Normal 2 5 3 2 2 8" xfId="5605"/>
    <cellStyle name="Normal 2 5 3 2 2_Monthly Price Data Petroleum" xfId="6336"/>
    <cellStyle name="Normal 2 5 3 2 3" xfId="1906"/>
    <cellStyle name="Normal 2 5 3 2 3 2" xfId="2832"/>
    <cellStyle name="Normal 2 5 3 2 3 3" xfId="3696"/>
    <cellStyle name="Normal 2 5 3 2 3 4" xfId="4571"/>
    <cellStyle name="Normal 2 5 3 2 3 5" xfId="5248"/>
    <cellStyle name="Normal 2 5 3 2 3 6" xfId="5876"/>
    <cellStyle name="Normal 2 5 3 2 3_Monthly Price Data Petroleum" xfId="6364"/>
    <cellStyle name="Normal 2 5 3 2 4" xfId="2181"/>
    <cellStyle name="Normal 2 5 3 2 4 2" xfId="3087"/>
    <cellStyle name="Normal 2 5 3 2 4 3" xfId="3957"/>
    <cellStyle name="Normal 2 5 3 2 4 4" xfId="4835"/>
    <cellStyle name="Normal 2 5 3 2 4 5" xfId="6144"/>
    <cellStyle name="Normal 2 5 3 2 5" xfId="2381"/>
    <cellStyle name="Normal 2 5 3 2 5 2" xfId="3240"/>
    <cellStyle name="Normal 2 5 3 2 5 3" xfId="4106"/>
    <cellStyle name="Normal 2 5 3 2 5 4" xfId="4985"/>
    <cellStyle name="Normal 2 5 3 2 5 5" xfId="6295"/>
    <cellStyle name="Normal 2 5 3 2 6" xfId="2582"/>
    <cellStyle name="Normal 2 5 3 2 7" xfId="3445"/>
    <cellStyle name="Normal 2 5 3 2 8" xfId="4313"/>
    <cellStyle name="Normal 2 5 3 2 9" xfId="5245"/>
    <cellStyle name="Normal 2 5 3 2_Monthly Price Data" xfId="2271"/>
    <cellStyle name="Normal 2 5 3 3" xfId="1562"/>
    <cellStyle name="Normal 2 5 3 3 2" xfId="1908"/>
    <cellStyle name="Normal 2 5 3 3 2 2" xfId="2834"/>
    <cellStyle name="Normal 2 5 3 3 2 3" xfId="3698"/>
    <cellStyle name="Normal 2 5 3 3 2 4" xfId="4573"/>
    <cellStyle name="Normal 2 5 3 3 2 5" xfId="5250"/>
    <cellStyle name="Normal 2 5 3 3 2 6" xfId="5878"/>
    <cellStyle name="Normal 2 5 3 3 2_Monthly Price Data Petroleum" xfId="6323"/>
    <cellStyle name="Normal 2 5 3 3 3" xfId="2183"/>
    <cellStyle name="Normal 2 5 3 3 3 2" xfId="3089"/>
    <cellStyle name="Normal 2 5 3 3 3 3" xfId="3959"/>
    <cellStyle name="Normal 2 5 3 3 3 4" xfId="4837"/>
    <cellStyle name="Normal 2 5 3 3 3 5" xfId="6146"/>
    <cellStyle name="Normal 2 5 3 3 4" xfId="2584"/>
    <cellStyle name="Normal 2 5 3 3 5" xfId="3447"/>
    <cellStyle name="Normal 2 5 3 3 6" xfId="4315"/>
    <cellStyle name="Normal 2 5 3 3 7" xfId="5249"/>
    <cellStyle name="Normal 2 5 3 3 8" xfId="5606"/>
    <cellStyle name="Normal 2 5 3 3_Monthly Price Data Petroleum" xfId="5695"/>
    <cellStyle name="Normal 2 5 3 4" xfId="1982"/>
    <cellStyle name="Normal 2 5 3 4 2" xfId="5251"/>
    <cellStyle name="Normal 2 5 3 4 3" xfId="6334"/>
    <cellStyle name="Normal 2 5 3 4_Monthly Price Data Petroleum" xfId="6387"/>
    <cellStyle name="Normal 2 5 3 5" xfId="1905"/>
    <cellStyle name="Normal 2 5 3 5 2" xfId="2831"/>
    <cellStyle name="Normal 2 5 3 5 3" xfId="3695"/>
    <cellStyle name="Normal 2 5 3 5 4" xfId="4570"/>
    <cellStyle name="Normal 2 5 3 5 5" xfId="5875"/>
    <cellStyle name="Normal 2 5 3 6" xfId="2180"/>
    <cellStyle name="Normal 2 5 3 6 2" xfId="3086"/>
    <cellStyle name="Normal 2 5 3 6 3" xfId="3956"/>
    <cellStyle name="Normal 2 5 3 6 4" xfId="4834"/>
    <cellStyle name="Normal 2 5 3 6 5" xfId="6143"/>
    <cellStyle name="Normal 2 5 3 7" xfId="2337"/>
    <cellStyle name="Normal 2 5 3 7 2" xfId="3196"/>
    <cellStyle name="Normal 2 5 3 7 3" xfId="4062"/>
    <cellStyle name="Normal 2 5 3 7 4" xfId="4941"/>
    <cellStyle name="Normal 2 5 3 7 5" xfId="6251"/>
    <cellStyle name="Normal 2 5 3 8" xfId="2581"/>
    <cellStyle name="Normal 2 5 3 9" xfId="3444"/>
    <cellStyle name="Normal 2 5 3_Monthly Price Data" xfId="2269"/>
    <cellStyle name="Normal 2 5 4" xfId="1563"/>
    <cellStyle name="Normal 2 5 4 10" xfId="5607"/>
    <cellStyle name="Normal 2 5 4 2" xfId="1564"/>
    <cellStyle name="Normal 2 5 4 2 2" xfId="1910"/>
    <cellStyle name="Normal 2 5 4 2 2 2" xfId="2836"/>
    <cellStyle name="Normal 2 5 4 2 2 3" xfId="3700"/>
    <cellStyle name="Normal 2 5 4 2 2 4" xfId="4575"/>
    <cellStyle name="Normal 2 5 4 2 2 5" xfId="5254"/>
    <cellStyle name="Normal 2 5 4 2 2 6" xfId="5880"/>
    <cellStyle name="Normal 2 5 4 2 2_Monthly Price Data Petroleum" xfId="5384"/>
    <cellStyle name="Normal 2 5 4 2 3" xfId="2185"/>
    <cellStyle name="Normal 2 5 4 2 3 2" xfId="3091"/>
    <cellStyle name="Normal 2 5 4 2 3 3" xfId="3961"/>
    <cellStyle name="Normal 2 5 4 2 3 4" xfId="4839"/>
    <cellStyle name="Normal 2 5 4 2 3 5" xfId="6148"/>
    <cellStyle name="Normal 2 5 4 2 4" xfId="2586"/>
    <cellStyle name="Normal 2 5 4 2 5" xfId="3449"/>
    <cellStyle name="Normal 2 5 4 2 6" xfId="4317"/>
    <cellStyle name="Normal 2 5 4 2 7" xfId="5253"/>
    <cellStyle name="Normal 2 5 4 2 8" xfId="5608"/>
    <cellStyle name="Normal 2 5 4 2_Monthly Price Data Petroleum" xfId="6335"/>
    <cellStyle name="Normal 2 5 4 3" xfId="1909"/>
    <cellStyle name="Normal 2 5 4 3 2" xfId="2835"/>
    <cellStyle name="Normal 2 5 4 3 3" xfId="3699"/>
    <cellStyle name="Normal 2 5 4 3 4" xfId="4574"/>
    <cellStyle name="Normal 2 5 4 3 5" xfId="5255"/>
    <cellStyle name="Normal 2 5 4 3 6" xfId="5879"/>
    <cellStyle name="Normal 2 5 4 3_Monthly Price Data Petroleum" xfId="6400"/>
    <cellStyle name="Normal 2 5 4 4" xfId="2184"/>
    <cellStyle name="Normal 2 5 4 4 2" xfId="3090"/>
    <cellStyle name="Normal 2 5 4 4 3" xfId="3960"/>
    <cellStyle name="Normal 2 5 4 4 4" xfId="4838"/>
    <cellStyle name="Normal 2 5 4 4 5" xfId="6147"/>
    <cellStyle name="Normal 2 5 4 5" xfId="2359"/>
    <cellStyle name="Normal 2 5 4 5 2" xfId="3218"/>
    <cellStyle name="Normal 2 5 4 5 3" xfId="4084"/>
    <cellStyle name="Normal 2 5 4 5 4" xfId="4963"/>
    <cellStyle name="Normal 2 5 4 5 5" xfId="6273"/>
    <cellStyle name="Normal 2 5 4 6" xfId="2585"/>
    <cellStyle name="Normal 2 5 4 7" xfId="3448"/>
    <cellStyle name="Normal 2 5 4 8" xfId="4316"/>
    <cellStyle name="Normal 2 5 4 9" xfId="5252"/>
    <cellStyle name="Normal 2 5 4_Monthly Price Data" xfId="2273"/>
    <cellStyle name="Normal 2 5 5" xfId="1565"/>
    <cellStyle name="Normal 2 5 5 2" xfId="1911"/>
    <cellStyle name="Normal 2 5 5 2 2" xfId="2837"/>
    <cellStyle name="Normal 2 5 5 2 3" xfId="3701"/>
    <cellStyle name="Normal 2 5 5 2 4" xfId="4576"/>
    <cellStyle name="Normal 2 5 5 2 5" xfId="5257"/>
    <cellStyle name="Normal 2 5 5 2 6" xfId="5881"/>
    <cellStyle name="Normal 2 5 5 2_Monthly Price Data Petroleum" xfId="6386"/>
    <cellStyle name="Normal 2 5 5 3" xfId="2186"/>
    <cellStyle name="Normal 2 5 5 3 2" xfId="3092"/>
    <cellStyle name="Normal 2 5 5 3 3" xfId="3962"/>
    <cellStyle name="Normal 2 5 5 3 4" xfId="4840"/>
    <cellStyle name="Normal 2 5 5 3 5" xfId="6149"/>
    <cellStyle name="Normal 2 5 5 4" xfId="2587"/>
    <cellStyle name="Normal 2 5 5 5" xfId="3450"/>
    <cellStyle name="Normal 2 5 5 6" xfId="4318"/>
    <cellStyle name="Normal 2 5 5 7" xfId="5256"/>
    <cellStyle name="Normal 2 5 5 8" xfId="5609"/>
    <cellStyle name="Normal 2 5 5_Monthly Price Data Petroleum" xfId="6381"/>
    <cellStyle name="Normal 2 5 6" xfId="2319"/>
    <cellStyle name="Normal 2 5 6 2" xfId="3178"/>
    <cellStyle name="Normal 2 5 6 3" xfId="4044"/>
    <cellStyle name="Normal 2 5 6 4" xfId="4923"/>
    <cellStyle name="Normal 2 5 6 5" xfId="5258"/>
    <cellStyle name="Normal 2 5 6 6" xfId="6233"/>
    <cellStyle name="Normal 2 5 6_Monthly Price Data Petroleum" xfId="6339"/>
    <cellStyle name="Normal 2 5 7" xfId="5227"/>
    <cellStyle name="Normal 2 5_Monthly Price Data" xfId="2289"/>
    <cellStyle name="Normal 2 6" xfId="1566"/>
    <cellStyle name="Normal 2 6 2" xfId="1977"/>
    <cellStyle name="Normal 2 6 3" xfId="1975"/>
    <cellStyle name="Normal 2 7" xfId="1992"/>
    <cellStyle name="Normal 2 7 2" xfId="2898"/>
    <cellStyle name="Normal 2 7 3" xfId="3761"/>
    <cellStyle name="Normal 2 7 4" xfId="4637"/>
    <cellStyle name="Normal 2 7 5" xfId="5946"/>
    <cellStyle name="Normal 2 8" xfId="2247"/>
    <cellStyle name="Normal 2 8 2" xfId="3152"/>
    <cellStyle name="Normal 2 8 3" xfId="4022"/>
    <cellStyle name="Normal 2 8 4" xfId="4901"/>
    <cellStyle name="Normal 2 8 5" xfId="6210"/>
    <cellStyle name="Normal 2 9" xfId="2257"/>
    <cellStyle name="Normal 2 9 2" xfId="3162"/>
    <cellStyle name="Normal 2 9 3" xfId="4031"/>
    <cellStyle name="Normal 2 9 4" xfId="4910"/>
    <cellStyle name="Normal 2 9 5" xfId="6219"/>
    <cellStyle name="Normal 2_2015  Data" xfId="5259"/>
    <cellStyle name="Normal 20" xfId="1108"/>
    <cellStyle name="Normal 20 2" xfId="1327"/>
    <cellStyle name="Normal 20 3" xfId="1700"/>
    <cellStyle name="Normal 20 4" xfId="5260"/>
    <cellStyle name="Normal 20 5" xfId="5681"/>
    <cellStyle name="Normal 20 6" xfId="1293"/>
    <cellStyle name="Normal 20_Monthly Price Data Petroleum" xfId="5739"/>
    <cellStyle name="Normal 200" xfId="1071"/>
    <cellStyle name="Normal 201" xfId="678"/>
    <cellStyle name="Normal 201 2" xfId="862"/>
    <cellStyle name="Normal 201 2 2" xfId="917"/>
    <cellStyle name="Normal 201 2 2 2" xfId="223"/>
    <cellStyle name="Normal 201 2 2 2 2" xfId="512"/>
    <cellStyle name="Normal 201 2 2 3" xfId="475"/>
    <cellStyle name="Normal 201 2 3" xfId="768"/>
    <cellStyle name="Normal 201 2 3 2" xfId="898"/>
    <cellStyle name="Normal 201 2 4" xfId="624"/>
    <cellStyle name="Normal 201 3" xfId="958"/>
    <cellStyle name="Normal 201 3 2" xfId="975"/>
    <cellStyle name="Normal 201 3 2 2" xfId="220"/>
    <cellStyle name="Normal 201 3 2 2 2" xfId="513"/>
    <cellStyle name="Normal 201 3 2 3" xfId="637"/>
    <cellStyle name="Normal 201 3 3" xfId="882"/>
    <cellStyle name="Normal 201 3 3 2" xfId="641"/>
    <cellStyle name="Normal 201 3 4" xfId="364"/>
    <cellStyle name="Normal 201 4" xfId="1138"/>
    <cellStyle name="Normal 201 4 2" xfId="127"/>
    <cellStyle name="Normal 201 4 2 2" xfId="552"/>
    <cellStyle name="Normal 201 4 3" xfId="414"/>
    <cellStyle name="Normal 201 5" xfId="932"/>
    <cellStyle name="Normal 201 5 2" xfId="421"/>
    <cellStyle name="Normal 201 6" xfId="429"/>
    <cellStyle name="Normal 202" xfId="679"/>
    <cellStyle name="Normal 202 2" xfId="863"/>
    <cellStyle name="Normal 202 2 2" xfId="741"/>
    <cellStyle name="Normal 202 2 2 2" xfId="900"/>
    <cellStyle name="Normal 202 2 2 2 2" xfId="315"/>
    <cellStyle name="Normal 202 2 2 3" xfId="280"/>
    <cellStyle name="Normal 202 2 3" xfId="1031"/>
    <cellStyle name="Normal 202 2 3 2" xfId="35"/>
    <cellStyle name="Normal 202 2 4" xfId="493"/>
    <cellStyle name="Normal 202 3" xfId="901"/>
    <cellStyle name="Normal 202 3 2" xfId="924"/>
    <cellStyle name="Normal 202 3 2 2" xfId="398"/>
    <cellStyle name="Normal 202 3 2 2 2" xfId="316"/>
    <cellStyle name="Normal 202 3 2 3" xfId="504"/>
    <cellStyle name="Normal 202 3 3" xfId="904"/>
    <cellStyle name="Normal 202 3 3 2" xfId="508"/>
    <cellStyle name="Normal 202 3 4" xfId="633"/>
    <cellStyle name="Normal 202 4" xfId="1139"/>
    <cellStyle name="Normal 202 4 2" xfId="522"/>
    <cellStyle name="Normal 202 4 2 2" xfId="419"/>
    <cellStyle name="Normal 202 4 3" xfId="58"/>
    <cellStyle name="Normal 202 5" xfId="997"/>
    <cellStyle name="Normal 202 5 2" xfId="97"/>
    <cellStyle name="Normal 202 6" xfId="91"/>
    <cellStyle name="Normal 203" xfId="980"/>
    <cellStyle name="Normal 203 2" xfId="1150"/>
    <cellStyle name="Normal 203 2 2" xfId="384"/>
    <cellStyle name="Normal 203 2 2 2" xfId="575"/>
    <cellStyle name="Normal 203 2 3" xfId="307"/>
    <cellStyle name="Normal 203 3" xfId="1074"/>
    <cellStyle name="Normal 203 3 2" xfId="311"/>
    <cellStyle name="Normal 203 4" xfId="501"/>
    <cellStyle name="Normal 204" xfId="993"/>
    <cellStyle name="Normal 204 2" xfId="989"/>
    <cellStyle name="Normal 204 2 2" xfId="777"/>
    <cellStyle name="Normal 204 2 2 2" xfId="450"/>
    <cellStyle name="Normal 204 2 3" xfId="566"/>
    <cellStyle name="Normal 204 3" xfId="1165"/>
    <cellStyle name="Normal 204 3 2" xfId="570"/>
    <cellStyle name="Normal 204 4" xfId="303"/>
    <cellStyle name="Normal 205" xfId="1025"/>
    <cellStyle name="Normal 205 2" xfId="1151"/>
    <cellStyle name="Normal 205 2 2" xfId="29"/>
    <cellStyle name="Normal 205 2 2 2" xfId="95"/>
    <cellStyle name="Normal 205 2 3" xfId="437"/>
    <cellStyle name="Normal 205 3" xfId="1061"/>
    <cellStyle name="Normal 205 3 2" xfId="442"/>
    <cellStyle name="Normal 205 4" xfId="562"/>
    <cellStyle name="Normal 206" xfId="1075"/>
    <cellStyle name="Normal 207" xfId="966"/>
    <cellStyle name="Normal 208" xfId="1152"/>
    <cellStyle name="Normal 208 2" xfId="1199"/>
    <cellStyle name="Normal 209" xfId="108"/>
    <cellStyle name="Normal 21" xfId="1109"/>
    <cellStyle name="Normal 21 2" xfId="1328"/>
    <cellStyle name="Normal 21 3" xfId="1701"/>
    <cellStyle name="Normal 21 4" xfId="1294"/>
    <cellStyle name="Normal 21_Monthly Price Data Petroleum" xfId="6366"/>
    <cellStyle name="Normal 210" xfId="778"/>
    <cellStyle name="Normal 211" xfId="2245"/>
    <cellStyle name="Normal 212" xfId="6451"/>
    <cellStyle name="Normal 213" xfId="6460"/>
    <cellStyle name="Normal 214" xfId="6463"/>
    <cellStyle name="Normal 215" xfId="6464"/>
    <cellStyle name="Normal 216" xfId="6465"/>
    <cellStyle name="Normal 217" xfId="6467"/>
    <cellStyle name="Normal 218" xfId="6468"/>
    <cellStyle name="Normal 219" xfId="6469"/>
    <cellStyle name="Normal 22" xfId="1110"/>
    <cellStyle name="Normal 22 2" xfId="1337"/>
    <cellStyle name="Normal 22 3" xfId="1300"/>
    <cellStyle name="Normal 220" xfId="6651"/>
    <cellStyle name="Normal 221" xfId="6652"/>
    <cellStyle name="Normal 222" xfId="6653"/>
    <cellStyle name="Normal 223" xfId="6654"/>
    <cellStyle name="Normal 224" xfId="6655"/>
    <cellStyle name="Normal 225" xfId="6656"/>
    <cellStyle name="Normal 226" xfId="6657"/>
    <cellStyle name="Normal 227" xfId="6658"/>
    <cellStyle name="Normal 228" xfId="6659"/>
    <cellStyle name="Normal 229" xfId="6660"/>
    <cellStyle name="Normal 23" xfId="1111"/>
    <cellStyle name="Normal 23 2" xfId="1332"/>
    <cellStyle name="Normal 23 3" xfId="1707"/>
    <cellStyle name="Normal 23 4" xfId="1301"/>
    <cellStyle name="Normal 230" xfId="6661"/>
    <cellStyle name="Normal 231" xfId="6662"/>
    <cellStyle name="Normal 232" xfId="6663"/>
    <cellStyle name="Normal 233" xfId="6664"/>
    <cellStyle name="Normal 234" xfId="6665"/>
    <cellStyle name="Normal 235" xfId="6666"/>
    <cellStyle name="Normal 236" xfId="6667"/>
    <cellStyle name="Normal 237" xfId="6668"/>
    <cellStyle name="Normal 238" xfId="6669"/>
    <cellStyle name="Normal 239" xfId="6670"/>
    <cellStyle name="Normal 24" xfId="891"/>
    <cellStyle name="Normal 24 2" xfId="1333"/>
    <cellStyle name="Normal 24 3" xfId="1708"/>
    <cellStyle name="Normal 24 4" xfId="1302"/>
    <cellStyle name="Normal 240" xfId="6671"/>
    <cellStyle name="Normal 241" xfId="6672"/>
    <cellStyle name="Normal 242" xfId="6673"/>
    <cellStyle name="Normal 243" xfId="6674"/>
    <cellStyle name="Normal 244" xfId="6675"/>
    <cellStyle name="Normal 245" xfId="6676"/>
    <cellStyle name="Normal 246" xfId="6677"/>
    <cellStyle name="Normal 247" xfId="6680"/>
    <cellStyle name="Normal 25" xfId="884"/>
    <cellStyle name="Normal 25 2" xfId="1334"/>
    <cellStyle name="Normal 25 3" xfId="1714"/>
    <cellStyle name="Normal 25 4" xfId="1308"/>
    <cellStyle name="Normal 26" xfId="680"/>
    <cellStyle name="Normal 26 2" xfId="1335"/>
    <cellStyle name="Normal 26 3" xfId="1709"/>
    <cellStyle name="Normal 26 4" xfId="1303"/>
    <cellStyle name="Normal 27" xfId="149"/>
    <cellStyle name="Normal 27 2" xfId="1336"/>
    <cellStyle name="Normal 27 3" xfId="1716"/>
    <cellStyle name="Normal 27 4" xfId="1310"/>
    <cellStyle name="Normal 28" xfId="825"/>
    <cellStyle name="Normal 28 2" xfId="1342"/>
    <cellStyle name="Normal 28 3" xfId="1311"/>
    <cellStyle name="Normal 29" xfId="681"/>
    <cellStyle name="Normal 29 2" xfId="1341"/>
    <cellStyle name="Normal 29 2 2" xfId="1979"/>
    <cellStyle name="Normal 29 3" xfId="1343"/>
    <cellStyle name="Normal 29 4" xfId="1340"/>
    <cellStyle name="Normal 29 5" xfId="1715"/>
    <cellStyle name="Normal 29 6" xfId="1309"/>
    <cellStyle name="Normal 3" xfId="1112"/>
    <cellStyle name="Normal 3 2" xfId="1266"/>
    <cellStyle name="Normal 3 2 2" xfId="1567"/>
    <cellStyle name="Normal 3 2_Comparison 2015 and 2016" xfId="6611"/>
    <cellStyle name="Normal 3 3" xfId="1568"/>
    <cellStyle name="Normal 3 4" xfId="1209"/>
    <cellStyle name="Normal 3 5" xfId="6452"/>
    <cellStyle name="Normal 3_2015  Data" xfId="5261"/>
    <cellStyle name="Normal 30" xfId="682"/>
    <cellStyle name="Normal 30 2" xfId="722"/>
    <cellStyle name="Normal 30 2 2" xfId="1063"/>
    <cellStyle name="Normal 30 2 2 2" xfId="1099"/>
    <cellStyle name="Normal 30 2 2 2 2" xfId="393"/>
    <cellStyle name="Normal 30 2 2 3" xfId="110"/>
    <cellStyle name="Normal 30 2 3" xfId="981"/>
    <cellStyle name="Normal 30 2 3 2" xfId="80"/>
    <cellStyle name="Normal 30 2 4" xfId="527"/>
    <cellStyle name="Normal 30 2 5" xfId="1987"/>
    <cellStyle name="Normal 30 3" xfId="864"/>
    <cellStyle name="Normal 30 3 2" xfId="1142"/>
    <cellStyle name="Normal 30 3 2 2" xfId="206"/>
    <cellStyle name="Normal 30 3 2 2 2" xfId="574"/>
    <cellStyle name="Normal 30 3 2 3" xfId="535"/>
    <cellStyle name="Normal 30 3 3" xfId="1086"/>
    <cellStyle name="Normal 30 3 3 2" xfId="43"/>
    <cellStyle name="Normal 30 3 4" xfId="294"/>
    <cellStyle name="Normal 30 4" xfId="905"/>
    <cellStyle name="Normal 30 4 2" xfId="1167"/>
    <cellStyle name="Normal 30 4 2 2" xfId="93"/>
    <cellStyle name="Normal 30 4 3" xfId="235"/>
    <cellStyle name="Normal 30 5" xfId="1155"/>
    <cellStyle name="Normal 30 5 2" xfId="258"/>
    <cellStyle name="Normal 30 6" xfId="328"/>
    <cellStyle name="Normal 30 7" xfId="1344"/>
    <cellStyle name="Normal 30_Comparison 2015 and 2016" xfId="6612"/>
    <cellStyle name="Normal 31" xfId="683"/>
    <cellStyle name="Normal 31 2" xfId="1018"/>
    <cellStyle name="Normal 31 2 2" xfId="1004"/>
    <cellStyle name="Normal 31 2 2 2" xfId="1171"/>
    <cellStyle name="Normal 31 2 2 2 2" xfId="50"/>
    <cellStyle name="Normal 31 2 2 3" xfId="336"/>
    <cellStyle name="Normal 31 2 3" xfId="933"/>
    <cellStyle name="Normal 31 2 3 2" xfId="259"/>
    <cellStyle name="Normal 31 2 4" xfId="430"/>
    <cellStyle name="Normal 31 2 5" xfId="1443"/>
    <cellStyle name="Normal 31 3" xfId="865"/>
    <cellStyle name="Normal 31 3 2" xfId="1055"/>
    <cellStyle name="Normal 31 3 2 2" xfId="222"/>
    <cellStyle name="Normal 31 3 2 2 2" xfId="448"/>
    <cellStyle name="Normal 31 3 2 3" xfId="436"/>
    <cellStyle name="Normal 31 3 2 4" xfId="4667"/>
    <cellStyle name="Normal 31 3 2 5" xfId="5976"/>
    <cellStyle name="Normal 31 3 3" xfId="1067"/>
    <cellStyle name="Normal 31 3 3 2" xfId="69"/>
    <cellStyle name="Normal 31 3 4" xfId="553"/>
    <cellStyle name="Normal 31 3 5" xfId="4403"/>
    <cellStyle name="Normal 31 3 6" xfId="5705"/>
    <cellStyle name="Normal 31 4" xfId="1008"/>
    <cellStyle name="Normal 31 4 2" xfId="63"/>
    <cellStyle name="Normal 31 4 2 2" xfId="263"/>
    <cellStyle name="Normal 31 4 3" xfId="341"/>
    <cellStyle name="Normal 31 5" xfId="1019"/>
    <cellStyle name="Normal 31 5 2" xfId="368"/>
    <cellStyle name="Normal 31 6" xfId="589"/>
    <cellStyle name="Normal 31 7" xfId="5419"/>
    <cellStyle name="Normal 32" xfId="684"/>
    <cellStyle name="Normal 32 2" xfId="991"/>
    <cellStyle name="Normal 32 2 2" xfId="1036"/>
    <cellStyle name="Normal 32 2 2 2" xfId="1095"/>
    <cellStyle name="Normal 32 2 2 2 2" xfId="76"/>
    <cellStyle name="Normal 32 2 2 3" xfId="603"/>
    <cellStyle name="Normal 32 2 2 4" xfId="4467"/>
    <cellStyle name="Normal 32 2 2 5" xfId="5772"/>
    <cellStyle name="Normal 32 2 3" xfId="761"/>
    <cellStyle name="Normal 32 2 3 2" xfId="369"/>
    <cellStyle name="Normal 32 2 3 3" xfId="3853"/>
    <cellStyle name="Normal 32 2 3 4" xfId="4731"/>
    <cellStyle name="Normal 32 2 3 5" xfId="6040"/>
    <cellStyle name="Normal 32 2 4" xfId="59"/>
    <cellStyle name="Normal 32 2 5" xfId="3339"/>
    <cellStyle name="Normal 32 2 6" xfId="4207"/>
    <cellStyle name="Normal 32 2 7" xfId="5495"/>
    <cellStyle name="Normal 32 3" xfId="866"/>
    <cellStyle name="Normal 32 3 2" xfId="1045"/>
    <cellStyle name="Normal 32 3 2 2" xfId="1180"/>
    <cellStyle name="Normal 32 3 2 2 2" xfId="106"/>
    <cellStyle name="Normal 32 3 2 3" xfId="85"/>
    <cellStyle name="Normal 32 3 3" xfId="942"/>
    <cellStyle name="Normal 32 3 3 2" xfId="262"/>
    <cellStyle name="Normal 32 3 4" xfId="420"/>
    <cellStyle name="Normal 32 3 5" xfId="1717"/>
    <cellStyle name="Normal 32 4" xfId="880"/>
    <cellStyle name="Normal 32 4 2" xfId="582"/>
    <cellStyle name="Normal 32 4 2 2" xfId="373"/>
    <cellStyle name="Normal 32 4 3" xfId="608"/>
    <cellStyle name="Normal 32 4 4" xfId="4378"/>
    <cellStyle name="Normal 32 4 5" xfId="5674"/>
    <cellStyle name="Normal 32 5" xfId="931"/>
    <cellStyle name="Normal 32 5 2" xfId="638"/>
    <cellStyle name="Normal 32 5 3" xfId="3765"/>
    <cellStyle name="Normal 32 5 4" xfId="4641"/>
    <cellStyle name="Normal 32 5 5" xfId="5950"/>
    <cellStyle name="Normal 32 6" xfId="465"/>
    <cellStyle name="Normal 32 7" xfId="1345"/>
    <cellStyle name="Normal 33" xfId="685"/>
    <cellStyle name="Normal 33 2" xfId="968"/>
    <cellStyle name="Normal 33 2 2" xfId="910"/>
    <cellStyle name="Normal 33 2 2 2" xfId="1"/>
    <cellStyle name="Normal 33 2 2 2 2" xfId="230"/>
    <cellStyle name="Normal 33 2 2 3" xfId="463"/>
    <cellStyle name="Normal 33 2 2 4" xfId="4468"/>
    <cellStyle name="Normal 33 2 2 5" xfId="5773"/>
    <cellStyle name="Normal 33 2 3" xfId="762"/>
    <cellStyle name="Normal 33 2 3 2" xfId="639"/>
    <cellStyle name="Normal 33 2 3 3" xfId="3854"/>
    <cellStyle name="Normal 33 2 3 4" xfId="4732"/>
    <cellStyle name="Normal 33 2 3 5" xfId="6041"/>
    <cellStyle name="Normal 33 2 4" xfId="234"/>
    <cellStyle name="Normal 33 2 5" xfId="3340"/>
    <cellStyle name="Normal 33 2 6" xfId="4208"/>
    <cellStyle name="Normal 33 2 7" xfId="5496"/>
    <cellStyle name="Normal 33 3" xfId="867"/>
    <cellStyle name="Normal 33 3 2" xfId="918"/>
    <cellStyle name="Normal 33 3 2 2" xfId="1181"/>
    <cellStyle name="Normal 33 3 2 2 2" xfId="332"/>
    <cellStyle name="Normal 33 3 2 3" xfId="255"/>
    <cellStyle name="Normal 33 3 3" xfId="1082"/>
    <cellStyle name="Normal 33 3 3 2" xfId="372"/>
    <cellStyle name="Normal 33 3 4" xfId="90"/>
    <cellStyle name="Normal 33 3 5" xfId="1718"/>
    <cellStyle name="Normal 33 4" xfId="218"/>
    <cellStyle name="Normal 33 4 2" xfId="88"/>
    <cellStyle name="Normal 33 4 2 2" xfId="643"/>
    <cellStyle name="Normal 33 4 3" xfId="471"/>
    <cellStyle name="Normal 33 4 4" xfId="4379"/>
    <cellStyle name="Normal 33 4 5" xfId="5675"/>
    <cellStyle name="Normal 33 5" xfId="756"/>
    <cellStyle name="Normal 33 5 2" xfId="505"/>
    <cellStyle name="Normal 33 5 3" xfId="3766"/>
    <cellStyle name="Normal 33 5 4" xfId="4642"/>
    <cellStyle name="Normal 33 5 5" xfId="5951"/>
    <cellStyle name="Normal 33 6" xfId="116"/>
    <cellStyle name="Normal 33 7" xfId="1346"/>
    <cellStyle name="Normal 34" xfId="19"/>
    <cellStyle name="Normal 34 2" xfId="909"/>
    <cellStyle name="Normal 34 2 2" xfId="734"/>
    <cellStyle name="Normal 34 2 2 2" xfId="205"/>
    <cellStyle name="Normal 34 2 2 2 2" xfId="271"/>
    <cellStyle name="Normal 34 2 2 3" xfId="275"/>
    <cellStyle name="Normal 34 2 2 4" xfId="4381"/>
    <cellStyle name="Normal 34 2 2 5" xfId="5677"/>
    <cellStyle name="Normal 34 2 3" xfId="955"/>
    <cellStyle name="Normal 34 2 3 2" xfId="506"/>
    <cellStyle name="Normal 34 2 3 3" xfId="3768"/>
    <cellStyle name="Normal 34 2 3 4" xfId="4644"/>
    <cellStyle name="Normal 34 2 3 5" xfId="5953"/>
    <cellStyle name="Normal 34 2 4" xfId="338"/>
    <cellStyle name="Normal 34 2 5" xfId="3342"/>
    <cellStyle name="Normal 34 2 6" xfId="4210"/>
    <cellStyle name="Normal 34 2 7" xfId="5499"/>
    <cellStyle name="Normal 34 3" xfId="868"/>
    <cellStyle name="Normal 34 3 2" xfId="742"/>
    <cellStyle name="Normal 34 3 2 2" xfId="209"/>
    <cellStyle name="Normal 34 3 2 2 2" xfId="599"/>
    <cellStyle name="Normal 34 3 2 3" xfId="366"/>
    <cellStyle name="Normal 34 3 3" xfId="1087"/>
    <cellStyle name="Normal 34 3 3 2" xfId="642"/>
    <cellStyle name="Normal 34 3 4" xfId="252"/>
    <cellStyle name="Normal 34 3 5" xfId="1450"/>
    <cellStyle name="Normal 34 4" xfId="26"/>
    <cellStyle name="Normal 34 4 2" xfId="588"/>
    <cellStyle name="Normal 34 4 2 2" xfId="510"/>
    <cellStyle name="Normal 34 4 3" xfId="1194"/>
    <cellStyle name="Normal 34 4 4" xfId="1441"/>
    <cellStyle name="Normal 34 5" xfId="757"/>
    <cellStyle name="Normal 34 5 2" xfId="308"/>
    <cellStyle name="Normal 34 6" xfId="526"/>
    <cellStyle name="Normal 34 7" xfId="1347"/>
    <cellStyle name="Normal 35" xfId="892"/>
    <cellStyle name="Normal 35 2" xfId="724"/>
    <cellStyle name="Normal 35 2 2" xfId="1050"/>
    <cellStyle name="Normal 35 2 2 2" xfId="1175"/>
    <cellStyle name="Normal 35 2 2 2 2" xfId="457"/>
    <cellStyle name="Normal 35 2 2 3" xfId="1195"/>
    <cellStyle name="Normal 35 2 3" xfId="1015"/>
    <cellStyle name="Normal 35 2 3 2" xfId="598"/>
    <cellStyle name="Normal 35 2 4" xfId="1188"/>
    <cellStyle name="Normal 35 2 5" xfId="1449"/>
    <cellStyle name="Normal 35 3" xfId="874"/>
    <cellStyle name="Normal 35 3 2" xfId="965"/>
    <cellStyle name="Normal 35 3 2 2" xfId="1183"/>
    <cellStyle name="Normal 35 3 2 2 2" xfId="239"/>
    <cellStyle name="Normal 35 3 2 3" xfId="1198"/>
    <cellStyle name="Normal 35 3 3" xfId="995"/>
    <cellStyle name="Normal 35 3 3 2" xfId="330"/>
    <cellStyle name="Normal 35 3 4" xfId="431"/>
    <cellStyle name="Normal 35 3 5" xfId="1448"/>
    <cellStyle name="Normal 35 4" xfId="729"/>
    <cellStyle name="Normal 35 4 2" xfId="114"/>
    <cellStyle name="Normal 35 4 2 2" xfId="313"/>
    <cellStyle name="Normal 35 4 2 3" xfId="3794"/>
    <cellStyle name="Normal 35 4 2 4" xfId="4672"/>
    <cellStyle name="Normal 35 4 2 5" xfId="5981"/>
    <cellStyle name="Normal 35 4 3" xfId="531"/>
    <cellStyle name="Normal 35 4 4" xfId="3536"/>
    <cellStyle name="Normal 35 4 5" xfId="4408"/>
    <cellStyle name="Normal 35 4 6" xfId="5711"/>
    <cellStyle name="Normal 35 5" xfId="758"/>
    <cellStyle name="Normal 35 5 2" xfId="567"/>
    <cellStyle name="Normal 35 6" xfId="417"/>
    <cellStyle name="Normal 35 7" xfId="4147"/>
    <cellStyle name="Normal 35 8" xfId="5429"/>
    <cellStyle name="Normal 35_Comparison 2015 and 2016" xfId="6613"/>
    <cellStyle name="Normal 36" xfId="885"/>
    <cellStyle name="Normal 36 2" xfId="725"/>
    <cellStyle name="Normal 36 2 2" xfId="1054"/>
    <cellStyle name="Normal 36 2 2 2" xfId="1094"/>
    <cellStyle name="Normal 36 2 2 2 2" xfId="246"/>
    <cellStyle name="Normal 36 2 2 3" xfId="636"/>
    <cellStyle name="Normal 36 2 2 4" xfId="4470"/>
    <cellStyle name="Normal 36 2 2 5" xfId="5775"/>
    <cellStyle name="Normal 36 2 3" xfId="935"/>
    <cellStyle name="Normal 36 2 3 2" xfId="478"/>
    <cellStyle name="Normal 36 2 3 3" xfId="3856"/>
    <cellStyle name="Normal 36 2 3 4" xfId="4734"/>
    <cellStyle name="Normal 36 2 3 5" xfId="6043"/>
    <cellStyle name="Normal 36 2 4" xfId="250"/>
    <cellStyle name="Normal 36 2 5" xfId="3344"/>
    <cellStyle name="Normal 36 2 6" xfId="4212"/>
    <cellStyle name="Normal 36 2 7" xfId="5502"/>
    <cellStyle name="Normal 36 3" xfId="875"/>
    <cellStyle name="Normal 36 3 2" xfId="992"/>
    <cellStyle name="Normal 36 3 2 2" xfId="53"/>
    <cellStyle name="Normal 36 3 2 2 2" xfId="351"/>
    <cellStyle name="Normal 36 3 2 3" xfId="342"/>
    <cellStyle name="Normal 36 3 3" xfId="985"/>
    <cellStyle name="Normal 36 3 3 2" xfId="591"/>
    <cellStyle name="Normal 36 3 4" xfId="115"/>
    <cellStyle name="Normal 36 3 5" xfId="5679"/>
    <cellStyle name="Normal 36 4" xfId="730"/>
    <cellStyle name="Normal 36 4 2" xfId="200"/>
    <cellStyle name="Normal 36 4 2 2" xfId="572"/>
    <cellStyle name="Normal 36 4 3" xfId="433"/>
    <cellStyle name="Normal 36 4 4" xfId="4646"/>
    <cellStyle name="Normal 36 4 5" xfId="5955"/>
    <cellStyle name="Normal 36 5" xfId="759"/>
    <cellStyle name="Normal 36 5 2" xfId="438"/>
    <cellStyle name="Normal 36 6" xfId="397"/>
    <cellStyle name="Normal 36 7" xfId="4148"/>
    <cellStyle name="Normal 36 8" xfId="5430"/>
    <cellStyle name="Normal 37" xfId="686"/>
    <cellStyle name="Normal 37 2" xfId="24"/>
    <cellStyle name="Normal 37 2 2" xfId="1047"/>
    <cellStyle name="Normal 37 2 2 2" xfId="1176"/>
    <cellStyle name="Normal 37 2 2 2 2" xfId="358"/>
    <cellStyle name="Normal 37 2 2 3" xfId="1196"/>
    <cellStyle name="Normal 37 2 3" xfId="1158"/>
    <cellStyle name="Normal 37 2 3 2" xfId="1201"/>
    <cellStyle name="Normal 37 2 4" xfId="1189"/>
    <cellStyle name="Normal 37 2 5" xfId="1983"/>
    <cellStyle name="Normal 37 3" xfId="876"/>
    <cellStyle name="Normal 37 3 2" xfId="1145"/>
    <cellStyle name="Normal 37 3 2 2" xfId="207"/>
    <cellStyle name="Normal 37 3 2 2 2" xfId="619"/>
    <cellStyle name="Normal 37 3 2 3" xfId="609"/>
    <cellStyle name="Normal 37 3 3" xfId="1162"/>
    <cellStyle name="Normal 37 3 3 2" xfId="482"/>
    <cellStyle name="Normal 37 3 4" xfId="339"/>
    <cellStyle name="Normal 37 4" xfId="155"/>
    <cellStyle name="Normal 37 4 2" xfId="1168"/>
    <cellStyle name="Normal 37 4 2 2" xfId="446"/>
    <cellStyle name="Normal 37 4 3" xfId="84"/>
    <cellStyle name="Normal 37 5" xfId="1156"/>
    <cellStyle name="Normal 37 5 2" xfId="121"/>
    <cellStyle name="Normal 37 6" xfId="48"/>
    <cellStyle name="Normal 37 7" xfId="1352"/>
    <cellStyle name="Normal 38" xfId="150"/>
    <cellStyle name="Normal 38 2" xfId="1990"/>
    <cellStyle name="Normal 38 3" xfId="1724"/>
    <cellStyle name="Normal 38 4" xfId="1353"/>
    <cellStyle name="Normal 39" xfId="826"/>
    <cellStyle name="Normal 39 2" xfId="726"/>
    <cellStyle name="Normal 39 2 2" xfId="913"/>
    <cellStyle name="Normal 39 2 2 2" xfId="1097"/>
    <cellStyle name="Normal 39 2 2 2 2" xfId="626"/>
    <cellStyle name="Normal 39 2 2 3" xfId="306"/>
    <cellStyle name="Normal 39 2 2 4" xfId="4899"/>
    <cellStyle name="Normal 39 2 2 5" xfId="6208"/>
    <cellStyle name="Normal 39 2 3" xfId="956"/>
    <cellStyle name="Normal 39 2 3 2" xfId="538"/>
    <cellStyle name="Normal 39 2 4" xfId="630"/>
    <cellStyle name="Normal 39 2 5" xfId="4635"/>
    <cellStyle name="Normal 39 2 6" xfId="5942"/>
    <cellStyle name="Normal 39 3" xfId="877"/>
    <cellStyle name="Normal 39 3 2" xfId="920"/>
    <cellStyle name="Normal 39 3 2 2" xfId="1184"/>
    <cellStyle name="Normal 39 3 2 2 2" xfId="488"/>
    <cellStyle name="Normal 39 3 2 3" xfId="472"/>
    <cellStyle name="Normal 39 3 3" xfId="1081"/>
    <cellStyle name="Normal 39 3 3 2" xfId="119"/>
    <cellStyle name="Normal 39 3 4" xfId="606"/>
    <cellStyle name="Normal 39 3 5" xfId="1731"/>
    <cellStyle name="Normal 39 4" xfId="881"/>
    <cellStyle name="Normal 39 4 2" xfId="1093"/>
    <cellStyle name="Normal 39 4 2 2" xfId="118"/>
    <cellStyle name="Normal 39 4 3" xfId="249"/>
    <cellStyle name="Normal 39 5" xfId="760"/>
    <cellStyle name="Normal 39 5 2" xfId="344"/>
    <cellStyle name="Normal 39 6" xfId="74"/>
    <cellStyle name="Normal 39 7" xfId="1360"/>
    <cellStyle name="Normal 4" xfId="687"/>
    <cellStyle name="Normal 4 10" xfId="6453"/>
    <cellStyle name="Normal 4 2" xfId="1314"/>
    <cellStyle name="Normal 4 2 2" xfId="2265"/>
    <cellStyle name="Normal 4 2_Comparison 2015 and 2016" xfId="6614"/>
    <cellStyle name="Normal 4 3" xfId="1569"/>
    <cellStyle name="Normal 4 4" xfId="1673"/>
    <cellStyle name="Normal 4 5" xfId="2301"/>
    <cellStyle name="Normal 4 6" xfId="5262"/>
    <cellStyle name="Normal 4 7" xfId="6344"/>
    <cellStyle name="Normal 4 8" xfId="6370"/>
    <cellStyle name="Normal 4 9" xfId="1211"/>
    <cellStyle name="Normal 4_2015  Data" xfId="5263"/>
    <cellStyle name="Normal 40" xfId="688"/>
    <cellStyle name="Normal 40 2" xfId="154"/>
    <cellStyle name="Normal 40 2 2" xfId="736"/>
    <cellStyle name="Normal 40 2 2 2" xfId="1177"/>
    <cellStyle name="Normal 40 2 2 2 2" xfId="495"/>
    <cellStyle name="Normal 40 2 2 3" xfId="565"/>
    <cellStyle name="Normal 40 2 3" xfId="1159"/>
    <cellStyle name="Normal 40 2 3 2" xfId="412"/>
    <cellStyle name="Normal 40 2 4" xfId="1190"/>
    <cellStyle name="Normal 40 2 5" xfId="1974"/>
    <cellStyle name="Normal 40 3" xfId="878"/>
    <cellStyle name="Normal 40 3 2" xfId="744"/>
    <cellStyle name="Normal 40 3 2 2" xfId="1185"/>
    <cellStyle name="Normal 40 3 2 2 2" xfId="289"/>
    <cellStyle name="Normal 40 3 2 3" xfId="279"/>
    <cellStyle name="Normal 40 3 3" xfId="1085"/>
    <cellStyle name="Normal 40 3 3 2" xfId="542"/>
    <cellStyle name="Normal 40 3 4" xfId="468"/>
    <cellStyle name="Normal 40 3 5" xfId="1732"/>
    <cellStyle name="Normal 40 4" xfId="731"/>
    <cellStyle name="Normal 40 4 2" xfId="1169"/>
    <cellStyle name="Normal 40 4 2 2" xfId="349"/>
    <cellStyle name="Normal 40 4 3" xfId="361"/>
    <cellStyle name="Normal 40 5" xfId="1024"/>
    <cellStyle name="Normal 40 5 2" xfId="612"/>
    <cellStyle name="Normal 40 6" xfId="324"/>
    <cellStyle name="Normal 40 7" xfId="1361"/>
    <cellStyle name="Normal 40_Comparison 2015 and 2016" xfId="6615"/>
    <cellStyle name="Normal 41" xfId="689"/>
    <cellStyle name="Normal 41 2" xfId="839"/>
    <cellStyle name="Normal 41 2 2" xfId="957"/>
    <cellStyle name="Normal 41 2 2 2" xfId="1098"/>
    <cellStyle name="Normal 41 2 2 2 2" xfId="296"/>
    <cellStyle name="Normal 41 2 2 3" xfId="1197"/>
    <cellStyle name="Normal 41 2 3" xfId="1001"/>
    <cellStyle name="Normal 41 2 3 2" xfId="57"/>
    <cellStyle name="Normal 41 2 4" xfId="300"/>
    <cellStyle name="Normal 41 2 5" xfId="1733"/>
    <cellStyle name="Normal 41 3" xfId="879"/>
    <cellStyle name="Normal 41 3 2" xfId="1146"/>
    <cellStyle name="Normal 41 3 2 2" xfId="203"/>
    <cellStyle name="Normal 41 3 2 2 2" xfId="548"/>
    <cellStyle name="Normal 41 3 2 3" xfId="532"/>
    <cellStyle name="Normal 41 3 3" xfId="987"/>
    <cellStyle name="Normal 41 3 3 2" xfId="416"/>
    <cellStyle name="Normal 41 3 4" xfId="1191"/>
    <cellStyle name="Normal 41 4" xfId="732"/>
    <cellStyle name="Normal 41 4 2" xfId="1100"/>
    <cellStyle name="Normal 41 4 2 2" xfId="617"/>
    <cellStyle name="Normal 41 4 3" xfId="629"/>
    <cellStyle name="Normal 41 5" xfId="1056"/>
    <cellStyle name="Normal 41 5 2" xfId="477"/>
    <cellStyle name="Normal 41 6" xfId="584"/>
    <cellStyle name="Normal 41 7" xfId="1362"/>
    <cellStyle name="Normal 42" xfId="690"/>
    <cellStyle name="Normal 42 2" xfId="840"/>
    <cellStyle name="Normal 42 2 2" xfId="1003"/>
    <cellStyle name="Normal 42 2 2 2" xfId="1178"/>
    <cellStyle name="Normal 42 2 2 2 2" xfId="555"/>
    <cellStyle name="Normal 42 2 2 3" xfId="92"/>
    <cellStyle name="Normal 42 2 3" xfId="1160"/>
    <cellStyle name="Normal 42 2 3 2" xfId="237"/>
    <cellStyle name="Normal 42 2 4" xfId="559"/>
    <cellStyle name="Normal 42 2 5" xfId="1734"/>
    <cellStyle name="Normal 42 3" xfId="25"/>
    <cellStyle name="Normal 42 3 2" xfId="1147"/>
    <cellStyle name="Normal 42 3 2 2" xfId="890"/>
    <cellStyle name="Normal 42 3 2 2 2" xfId="449"/>
    <cellStyle name="Normal 42 3 2 3" xfId="403"/>
    <cellStyle name="Normal 42 3 3" xfId="1163"/>
    <cellStyle name="Normal 42 3 3 2" xfId="396"/>
    <cellStyle name="Normal 42 3 4" xfId="1192"/>
    <cellStyle name="Normal 42 4" xfId="733"/>
    <cellStyle name="Normal 42 4 2" xfId="1170"/>
    <cellStyle name="Normal 42 4 2 2" xfId="485"/>
    <cellStyle name="Normal 42 4 3" xfId="498"/>
    <cellStyle name="Normal 42 5" xfId="971"/>
    <cellStyle name="Normal 42 5 2" xfId="282"/>
    <cellStyle name="Normal 42 6" xfId="466"/>
    <cellStyle name="Normal 42 7" xfId="1363"/>
    <cellStyle name="Normal 43" xfId="691"/>
    <cellStyle name="Normal 43 2" xfId="841"/>
    <cellStyle name="Normal 43 2 2" xfId="1040"/>
    <cellStyle name="Normal 43 2 2 2" xfId="1179"/>
    <cellStyle name="Normal 43 2 2 2 2" xfId="422"/>
    <cellStyle name="Normal 43 2 2 3" xfId="329"/>
    <cellStyle name="Normal 43 2 3" xfId="763"/>
    <cellStyle name="Normal 43 2 3 2" xfId="345"/>
    <cellStyle name="Normal 43 2 4" xfId="428"/>
    <cellStyle name="Normal 43 2 5" xfId="1730"/>
    <cellStyle name="Normal 43 3" xfId="727"/>
    <cellStyle name="Normal 43 3 2" xfId="1148"/>
    <cellStyle name="Normal 43 3 2 2" xfId="199"/>
    <cellStyle name="Normal 43 3 2 2 2" xfId="86"/>
    <cellStyle name="Normal 43 3 2 3" xfId="389"/>
    <cellStyle name="Normal 43 3 3" xfId="771"/>
    <cellStyle name="Normal 43 3 3 2" xfId="51"/>
    <cellStyle name="Normal 43 3 4" xfId="408"/>
    <cellStyle name="Normal 43 4" xfId="1022"/>
    <cellStyle name="Normal 43 4 2" xfId="1091"/>
    <cellStyle name="Normal 43 4 2 2" xfId="287"/>
    <cellStyle name="Normal 43 4 3" xfId="299"/>
    <cellStyle name="Normal 43 5" xfId="934"/>
    <cellStyle name="Normal 43 5 2" xfId="537"/>
    <cellStyle name="Normal 43 6" xfId="99"/>
    <cellStyle name="Normal 43 7" xfId="1359"/>
    <cellStyle name="Normal 44" xfId="692"/>
    <cellStyle name="Normal 44 2" xfId="1049"/>
    <cellStyle name="Normal 44 2 2" xfId="962"/>
    <cellStyle name="Normal 44 2 2 2" xfId="1172"/>
    <cellStyle name="Normal 44 2 2 2 2" xfId="381"/>
    <cellStyle name="Normal 44 2 2 3" xfId="524"/>
    <cellStyle name="Normal 44 2 3" xfId="1060"/>
    <cellStyle name="Normal 44 2 3 2" xfId="309"/>
    <cellStyle name="Normal 44 2 4" xfId="605"/>
    <cellStyle name="Normal 44 2 5" xfId="1735"/>
    <cellStyle name="Normal 44 3" xfId="869"/>
    <cellStyle name="Normal 44 3 2" xfId="1143"/>
    <cellStyle name="Normal 44 3 2 2" xfId="224"/>
    <cellStyle name="Normal 44 3 2 2 2" xfId="487"/>
    <cellStyle name="Normal 44 3 2 3" xfId="635"/>
    <cellStyle name="Normal 44 3 3" xfId="1011"/>
    <cellStyle name="Normal 44 3 3 2" xfId="509"/>
    <cellStyle name="Normal 44 3 4" xfId="363"/>
    <cellStyle name="Normal 44 4" xfId="949"/>
    <cellStyle name="Normal 44 4 2" xfId="1092"/>
    <cellStyle name="Normal 44 4 2 2" xfId="545"/>
    <cellStyle name="Normal 44 4 3" xfId="558"/>
    <cellStyle name="Normal 44 5" xfId="1021"/>
    <cellStyle name="Normal 44 5 2" xfId="409"/>
    <cellStyle name="Normal 44 6" xfId="593"/>
    <cellStyle name="Normal 44 7" xfId="1364"/>
    <cellStyle name="Normal 45" xfId="693"/>
    <cellStyle name="Normal 45 2" xfId="998"/>
    <cellStyle name="Normal 45 2 2" xfId="1010"/>
    <cellStyle name="Normal 45 2 2 2" xfId="1173"/>
    <cellStyle name="Normal 45 2 2 2 2" xfId="651"/>
    <cellStyle name="Normal 45 2 2 3" xfId="33"/>
    <cellStyle name="Normal 45 2 3" xfId="972"/>
    <cellStyle name="Normal 45 2 3 2" xfId="568"/>
    <cellStyle name="Normal 45 2 4" xfId="467"/>
    <cellStyle name="Normal 45 2 5" xfId="1739"/>
    <cellStyle name="Normal 45 3" xfId="870"/>
    <cellStyle name="Normal 45 3 2" xfId="1144"/>
    <cellStyle name="Normal 45 3 2 2" xfId="210"/>
    <cellStyle name="Normal 45 3 2 2 2" xfId="129"/>
    <cellStyle name="Normal 45 3 2 3" xfId="503"/>
    <cellStyle name="Normal 45 3 3" xfId="941"/>
    <cellStyle name="Normal 45 3 3 2" xfId="312"/>
    <cellStyle name="Normal 45 3 4" xfId="632"/>
    <cellStyle name="Normal 45 4" xfId="1051"/>
    <cellStyle name="Normal 45 4 2" xfId="1096"/>
    <cellStyle name="Normal 45 4 2 2" xfId="407"/>
    <cellStyle name="Normal 45 4 3" xfId="427"/>
    <cellStyle name="Normal 45 5" xfId="1065"/>
    <cellStyle name="Normal 45 5 2" xfId="54"/>
    <cellStyle name="Normal 45 6" xfId="123"/>
    <cellStyle name="Normal 45 7" xfId="1368"/>
    <cellStyle name="Normal 46" xfId="20"/>
    <cellStyle name="Normal 46 2" xfId="1745"/>
    <cellStyle name="Normal 46 2 2" xfId="2684"/>
    <cellStyle name="Normal 46 2 3" xfId="3548"/>
    <cellStyle name="Normal 46 2 4" xfId="4420"/>
    <cellStyle name="Normal 46 2 5" xfId="5724"/>
    <cellStyle name="Normal 46 3" xfId="2033"/>
    <cellStyle name="Normal 46 3 2" xfId="2939"/>
    <cellStyle name="Normal 46 3 3" xfId="3806"/>
    <cellStyle name="Normal 46 3 4" xfId="4684"/>
    <cellStyle name="Normal 46 3 5" xfId="5993"/>
    <cellStyle name="Normal 46 4" xfId="2433"/>
    <cellStyle name="Normal 46 5" xfId="3292"/>
    <cellStyle name="Normal 46 6" xfId="4160"/>
    <cellStyle name="Normal 46 7" xfId="5446"/>
    <cellStyle name="Normal 46 8" xfId="1374"/>
    <cellStyle name="Normal 47" xfId="893"/>
    <cellStyle name="Normal 47 2" xfId="1746"/>
    <cellStyle name="Normal 47 2 2" xfId="2685"/>
    <cellStyle name="Normal 47 2 3" xfId="3549"/>
    <cellStyle name="Normal 47 2 4" xfId="4421"/>
    <cellStyle name="Normal 47 2 5" xfId="5725"/>
    <cellStyle name="Normal 47 3" xfId="2034"/>
    <cellStyle name="Normal 47 3 2" xfId="2940"/>
    <cellStyle name="Normal 47 3 3" xfId="3807"/>
    <cellStyle name="Normal 47 3 4" xfId="4685"/>
    <cellStyle name="Normal 47 3 5" xfId="5994"/>
    <cellStyle name="Normal 47 4" xfId="2434"/>
    <cellStyle name="Normal 47 5" xfId="3293"/>
    <cellStyle name="Normal 47 6" xfId="4161"/>
    <cellStyle name="Normal 47 7" xfId="5447"/>
    <cellStyle name="Normal 47 8" xfId="1375"/>
    <cellStyle name="Normal 48" xfId="886"/>
    <cellStyle name="Normal 48 2" xfId="1747"/>
    <cellStyle name="Normal 48 3" xfId="1376"/>
    <cellStyle name="Normal 49" xfId="694"/>
    <cellStyle name="Normal 49 2" xfId="1757"/>
    <cellStyle name="Normal 49 2 2" xfId="2694"/>
    <cellStyle name="Normal 49 2 3" xfId="3558"/>
    <cellStyle name="Normal 49 2 4" xfId="4430"/>
    <cellStyle name="Normal 49 2 5" xfId="5734"/>
    <cellStyle name="Normal 49 3" xfId="2043"/>
    <cellStyle name="Normal 49 3 2" xfId="2949"/>
    <cellStyle name="Normal 49 3 3" xfId="3816"/>
    <cellStyle name="Normal 49 3 4" xfId="4694"/>
    <cellStyle name="Normal 49 3 5" xfId="6003"/>
    <cellStyle name="Normal 49 4" xfId="2443"/>
    <cellStyle name="Normal 49 5" xfId="3302"/>
    <cellStyle name="Normal 49 6" xfId="4170"/>
    <cellStyle name="Normal 49 7" xfId="5456"/>
    <cellStyle name="Normal 49 8" xfId="1387"/>
    <cellStyle name="Normal 5" xfId="1113"/>
    <cellStyle name="Normal 5 2" xfId="1268"/>
    <cellStyle name="Normal 5 2 2" xfId="1570"/>
    <cellStyle name="Normal 5 3" xfId="1315"/>
    <cellStyle name="Normal 5 4" xfId="1674"/>
    <cellStyle name="Normal 5 5" xfId="1214"/>
    <cellStyle name="Normal 5_2015  Data" xfId="5264"/>
    <cellStyle name="Normal 50" xfId="827"/>
    <cellStyle name="Normal 50 2" xfId="1758"/>
    <cellStyle name="Normal 50 3" xfId="1388"/>
    <cellStyle name="Normal 51" xfId="695"/>
    <cellStyle name="Normal 51 2" xfId="1763"/>
    <cellStyle name="Normal 51 3" xfId="1393"/>
    <cellStyle name="Normal 52" xfId="696"/>
    <cellStyle name="Normal 52 2" xfId="1764"/>
    <cellStyle name="Normal 52 3" xfId="1395"/>
    <cellStyle name="Normal 53" xfId="697"/>
    <cellStyle name="Normal 53 2" xfId="1765"/>
    <cellStyle name="Normal 53 3" xfId="1396"/>
    <cellStyle name="Normal 54" xfId="698"/>
    <cellStyle name="Normal 54 2" xfId="1766"/>
    <cellStyle name="Normal 54 3" xfId="1397"/>
    <cellStyle name="Normal 55" xfId="699"/>
    <cellStyle name="Normal 55 2" xfId="1767"/>
    <cellStyle name="Normal 55 3" xfId="1398"/>
    <cellStyle name="Normal 56" xfId="700"/>
    <cellStyle name="Normal 56 2" xfId="1768"/>
    <cellStyle name="Normal 56 3" xfId="1399"/>
    <cellStyle name="Normal 57" xfId="701"/>
    <cellStyle name="Normal 57 2" xfId="1400"/>
    <cellStyle name="Normal 58" xfId="21"/>
    <cellStyle name="Normal 58 2" xfId="1394"/>
    <cellStyle name="Normal 59" xfId="894"/>
    <cellStyle name="Normal 59 2" xfId="1769"/>
    <cellStyle name="Normal 59 3" xfId="1401"/>
    <cellStyle name="Normal 6" xfId="1114"/>
    <cellStyle name="Normal 6 2" xfId="1269"/>
    <cellStyle name="Normal 6 2 2" xfId="1571"/>
    <cellStyle name="Normal 6 2 3" xfId="1985"/>
    <cellStyle name="Normal 6 3" xfId="1329"/>
    <cellStyle name="Normal 6 4" xfId="1675"/>
    <cellStyle name="Normal 6 5" xfId="1215"/>
    <cellStyle name="Normal 6 6" xfId="6456"/>
    <cellStyle name="Normal 6_2015  Data" xfId="5265"/>
    <cellStyle name="Normal 60" xfId="702"/>
    <cellStyle name="Normal 60 2" xfId="1406"/>
    <cellStyle name="Normal 61" xfId="151"/>
    <cellStyle name="Normal 61 2" xfId="1407"/>
    <cellStyle name="Normal 62" xfId="828"/>
    <cellStyle name="Normal 62 2" xfId="1774"/>
    <cellStyle name="Normal 62 3" xfId="1408"/>
    <cellStyle name="Normal 63" xfId="703"/>
    <cellStyle name="Normal 63 2" xfId="1779"/>
    <cellStyle name="Normal 63 3" xfId="1413"/>
    <cellStyle name="Normal 64" xfId="704"/>
    <cellStyle name="Normal 64 2" xfId="1788"/>
    <cellStyle name="Normal 64 2 2" xfId="2715"/>
    <cellStyle name="Normal 64 2 3" xfId="3579"/>
    <cellStyle name="Normal 64 2 4" xfId="4451"/>
    <cellStyle name="Normal 64 2 5" xfId="5756"/>
    <cellStyle name="Normal 64 3" xfId="2064"/>
    <cellStyle name="Normal 64 3 2" xfId="2970"/>
    <cellStyle name="Normal 64 3 3" xfId="3837"/>
    <cellStyle name="Normal 64 3 4" xfId="4715"/>
    <cellStyle name="Normal 64 3 5" xfId="6024"/>
    <cellStyle name="Normal 64 4" xfId="2464"/>
    <cellStyle name="Normal 64 5" xfId="3323"/>
    <cellStyle name="Normal 64 6" xfId="4191"/>
    <cellStyle name="Normal 64 7" xfId="5478"/>
    <cellStyle name="Normal 64 8" xfId="1422"/>
    <cellStyle name="Normal 65" xfId="705"/>
    <cellStyle name="Normal 65 2" xfId="1790"/>
    <cellStyle name="Normal 65 2 2" xfId="2717"/>
    <cellStyle name="Normal 65 2 3" xfId="3581"/>
    <cellStyle name="Normal 65 2 4" xfId="4453"/>
    <cellStyle name="Normal 65 2 5" xfId="5758"/>
    <cellStyle name="Normal 65 3" xfId="2066"/>
    <cellStyle name="Normal 65 3 2" xfId="2972"/>
    <cellStyle name="Normal 65 3 3" xfId="3839"/>
    <cellStyle name="Normal 65 3 4" xfId="4717"/>
    <cellStyle name="Normal 65 3 5" xfId="6026"/>
    <cellStyle name="Normal 65 4" xfId="2466"/>
    <cellStyle name="Normal 65 5" xfId="3325"/>
    <cellStyle name="Normal 65 6" xfId="4193"/>
    <cellStyle name="Normal 65 7" xfId="5480"/>
    <cellStyle name="Normal 65 8" xfId="1424"/>
    <cellStyle name="Normal 66" xfId="706"/>
    <cellStyle name="Normal 66 2" xfId="1789"/>
    <cellStyle name="Normal 66 2 2" xfId="2716"/>
    <cellStyle name="Normal 66 2 3" xfId="3580"/>
    <cellStyle name="Normal 66 2 4" xfId="4452"/>
    <cellStyle name="Normal 66 2 5" xfId="5757"/>
    <cellStyle name="Normal 66 3" xfId="2065"/>
    <cellStyle name="Normal 66 3 2" xfId="2971"/>
    <cellStyle name="Normal 66 3 3" xfId="3838"/>
    <cellStyle name="Normal 66 3 4" xfId="4716"/>
    <cellStyle name="Normal 66 3 5" xfId="6025"/>
    <cellStyle name="Normal 66 4" xfId="2465"/>
    <cellStyle name="Normal 66 5" xfId="3324"/>
    <cellStyle name="Normal 66 6" xfId="4192"/>
    <cellStyle name="Normal 66 7" xfId="5479"/>
    <cellStyle name="Normal 66 8" xfId="1423"/>
    <cellStyle name="Normal 67" xfId="707"/>
    <cellStyle name="Normal 67 2" xfId="1791"/>
    <cellStyle name="Normal 67 2 2" xfId="2718"/>
    <cellStyle name="Normal 67 2 3" xfId="3582"/>
    <cellStyle name="Normal 67 2 4" xfId="4454"/>
    <cellStyle name="Normal 67 2 5" xfId="5759"/>
    <cellStyle name="Normal 67 3" xfId="2067"/>
    <cellStyle name="Normal 67 3 2" xfId="2973"/>
    <cellStyle name="Normal 67 3 3" xfId="3840"/>
    <cellStyle name="Normal 67 3 4" xfId="4718"/>
    <cellStyle name="Normal 67 3 5" xfId="6027"/>
    <cellStyle name="Normal 67 4" xfId="2467"/>
    <cellStyle name="Normal 67 5" xfId="3326"/>
    <cellStyle name="Normal 67 6" xfId="4194"/>
    <cellStyle name="Normal 67 7" xfId="5481"/>
    <cellStyle name="Normal 67 8" xfId="1425"/>
    <cellStyle name="Normal 68" xfId="708"/>
    <cellStyle name="Normal 68 2" xfId="1426"/>
    <cellStyle name="Normal 69" xfId="709"/>
    <cellStyle name="Normal 69 2" xfId="1427"/>
    <cellStyle name="Normal 7" xfId="710"/>
    <cellStyle name="Normal 7 2" xfId="1279"/>
    <cellStyle name="Normal 7 3" xfId="1316"/>
    <cellStyle name="Normal 7 4" xfId="1678"/>
    <cellStyle name="Normal 7 5" xfId="1219"/>
    <cellStyle name="Normal 7_Comparison 2015 and 2016" xfId="6616"/>
    <cellStyle name="Normal 70" xfId="22"/>
    <cellStyle name="Normal 70 2" xfId="1796"/>
    <cellStyle name="Normal 70 2 2" xfId="2723"/>
    <cellStyle name="Normal 70 2 3" xfId="3587"/>
    <cellStyle name="Normal 70 2 4" xfId="4459"/>
    <cellStyle name="Normal 70 2 5" xfId="5764"/>
    <cellStyle name="Normal 70 3" xfId="2072"/>
    <cellStyle name="Normal 70 3 2" xfId="2978"/>
    <cellStyle name="Normal 70 3 3" xfId="3845"/>
    <cellStyle name="Normal 70 3 4" xfId="4723"/>
    <cellStyle name="Normal 70 3 5" xfId="6032"/>
    <cellStyle name="Normal 70 4" xfId="2472"/>
    <cellStyle name="Normal 70 5" xfId="3331"/>
    <cellStyle name="Normal 70 6" xfId="4199"/>
    <cellStyle name="Normal 70 7" xfId="5487"/>
    <cellStyle name="Normal 70 8" xfId="1432"/>
    <cellStyle name="Normal 71" xfId="895"/>
    <cellStyle name="Normal 71 2" xfId="1797"/>
    <cellStyle name="Normal 71 3" xfId="1433"/>
    <cellStyle name="Normal 72" xfId="654"/>
    <cellStyle name="Normal 72 2" xfId="1802"/>
    <cellStyle name="Normal 72 2 2" xfId="2728"/>
    <cellStyle name="Normal 72 2 3" xfId="3592"/>
    <cellStyle name="Normal 72 2 4" xfId="4464"/>
    <cellStyle name="Normal 72 2 5" xfId="5769"/>
    <cellStyle name="Normal 72 3" xfId="2077"/>
    <cellStyle name="Normal 72 3 2" xfId="2983"/>
    <cellStyle name="Normal 72 3 3" xfId="3850"/>
    <cellStyle name="Normal 72 3 4" xfId="4728"/>
    <cellStyle name="Normal 72 3 5" xfId="6037"/>
    <cellStyle name="Normal 72 4" xfId="2477"/>
    <cellStyle name="Normal 72 5" xfId="3336"/>
    <cellStyle name="Normal 72 6" xfId="4204"/>
    <cellStyle name="Normal 72 7" xfId="5492"/>
    <cellStyle name="Normal 72 8" xfId="1438"/>
    <cellStyle name="Normal 73" xfId="887"/>
    <cellStyle name="Normal 73 2" xfId="1804"/>
    <cellStyle name="Normal 73 2 2" xfId="2730"/>
    <cellStyle name="Normal 73 2 3" xfId="3594"/>
    <cellStyle name="Normal 73 2 4" xfId="4466"/>
    <cellStyle name="Normal 73 2 5" xfId="5771"/>
    <cellStyle name="Normal 73 3" xfId="2079"/>
    <cellStyle name="Normal 73 3 2" xfId="2985"/>
    <cellStyle name="Normal 73 3 3" xfId="3852"/>
    <cellStyle name="Normal 73 3 4" xfId="4730"/>
    <cellStyle name="Normal 73 3 5" xfId="6039"/>
    <cellStyle name="Normal 73 4" xfId="2479"/>
    <cellStyle name="Normal 73 5" xfId="3338"/>
    <cellStyle name="Normal 73 6" xfId="4206"/>
    <cellStyle name="Normal 73 7" xfId="5494"/>
    <cellStyle name="Normal 73 8" xfId="1440"/>
    <cellStyle name="Normal 74" xfId="711"/>
    <cellStyle name="Normal 74 2" xfId="1806"/>
    <cellStyle name="Normal 74 2 2" xfId="2732"/>
    <cellStyle name="Normal 74 2 3" xfId="3596"/>
    <cellStyle name="Normal 74 2 4" xfId="4471"/>
    <cellStyle name="Normal 74 2 5" xfId="5776"/>
    <cellStyle name="Normal 74 3" xfId="2081"/>
    <cellStyle name="Normal 74 3 2" xfId="2987"/>
    <cellStyle name="Normal 74 3 3" xfId="3857"/>
    <cellStyle name="Normal 74 3 4" xfId="4735"/>
    <cellStyle name="Normal 74 3 5" xfId="6044"/>
    <cellStyle name="Normal 74 4" xfId="2482"/>
    <cellStyle name="Normal 74 5" xfId="3345"/>
    <cellStyle name="Normal 74 6" xfId="4213"/>
    <cellStyle name="Normal 74 7" xfId="5503"/>
    <cellStyle name="Normal 74 8" xfId="1452"/>
    <cellStyle name="Normal 75" xfId="152"/>
    <cellStyle name="Normal 75 2" xfId="1803"/>
    <cellStyle name="Normal 75 2 2" xfId="2729"/>
    <cellStyle name="Normal 75 2 3" xfId="3593"/>
    <cellStyle name="Normal 75 2 4" xfId="4465"/>
    <cellStyle name="Normal 75 2 5" xfId="5770"/>
    <cellStyle name="Normal 75 3" xfId="2078"/>
    <cellStyle name="Normal 75 3 2" xfId="2984"/>
    <cellStyle name="Normal 75 3 3" xfId="3851"/>
    <cellStyle name="Normal 75 3 4" xfId="4729"/>
    <cellStyle name="Normal 75 3 5" xfId="6038"/>
    <cellStyle name="Normal 75 4" xfId="2478"/>
    <cellStyle name="Normal 75 5" xfId="3337"/>
    <cellStyle name="Normal 75 6" xfId="4205"/>
    <cellStyle name="Normal 75 7" xfId="5493"/>
    <cellStyle name="Normal 75 8" xfId="1439"/>
    <cellStyle name="Normal 76" xfId="829"/>
    <cellStyle name="Normal 76 2" xfId="1807"/>
    <cellStyle name="Normal 76 2 2" xfId="2733"/>
    <cellStyle name="Normal 76 2 3" xfId="3597"/>
    <cellStyle name="Normal 76 2 4" xfId="4472"/>
    <cellStyle name="Normal 76 2 5" xfId="5777"/>
    <cellStyle name="Normal 76 3" xfId="2082"/>
    <cellStyle name="Normal 76 3 2" xfId="2988"/>
    <cellStyle name="Normal 76 3 3" xfId="3858"/>
    <cellStyle name="Normal 76 3 4" xfId="4736"/>
    <cellStyle name="Normal 76 3 5" xfId="6045"/>
    <cellStyle name="Normal 76 4" xfId="2483"/>
    <cellStyle name="Normal 76 5" xfId="3346"/>
    <cellStyle name="Normal 76 6" xfId="4214"/>
    <cellStyle name="Normal 76 7" xfId="5504"/>
    <cellStyle name="Normal 76 8" xfId="1453"/>
    <cellStyle name="Normal 77" xfId="712"/>
    <cellStyle name="Normal 77 2" xfId="1963"/>
    <cellStyle name="Normal 77 2 2" xfId="2889"/>
    <cellStyle name="Normal 77 2 3" xfId="3753"/>
    <cellStyle name="Normal 77 2 4" xfId="4628"/>
    <cellStyle name="Normal 77 2 5" xfId="5933"/>
    <cellStyle name="Normal 77 3" xfId="2238"/>
    <cellStyle name="Normal 77 3 2" xfId="3144"/>
    <cellStyle name="Normal 77 3 3" xfId="4014"/>
    <cellStyle name="Normal 77 3 4" xfId="4892"/>
    <cellStyle name="Normal 77 3 5" xfId="6201"/>
    <cellStyle name="Normal 77 4" xfId="2639"/>
    <cellStyle name="Normal 77 5" xfId="3502"/>
    <cellStyle name="Normal 77 6" xfId="4370"/>
    <cellStyle name="Normal 77 7" xfId="5666"/>
    <cellStyle name="Normal 77 8" xfId="1658"/>
    <cellStyle name="Normal 78" xfId="713"/>
    <cellStyle name="Normal 78 2" xfId="1965"/>
    <cellStyle name="Normal 78 2 2" xfId="2891"/>
    <cellStyle name="Normal 78 2 3" xfId="3755"/>
    <cellStyle name="Normal 78 2 4" xfId="4630"/>
    <cellStyle name="Normal 78 2 5" xfId="5935"/>
    <cellStyle name="Normal 78 3" xfId="2240"/>
    <cellStyle name="Normal 78 3 2" xfId="3146"/>
    <cellStyle name="Normal 78 3 3" xfId="4016"/>
    <cellStyle name="Normal 78 3 4" xfId="4894"/>
    <cellStyle name="Normal 78 3 5" xfId="6203"/>
    <cellStyle name="Normal 78 4" xfId="2641"/>
    <cellStyle name="Normal 78 5" xfId="3504"/>
    <cellStyle name="Normal 78 6" xfId="4372"/>
    <cellStyle name="Normal 78 7" xfId="5668"/>
    <cellStyle name="Normal 78 8" xfId="1660"/>
    <cellStyle name="Normal 79" xfId="714"/>
    <cellStyle name="Normal 79 2" xfId="1966"/>
    <cellStyle name="Normal 79 3" xfId="1661"/>
    <cellStyle name="Normal 8" xfId="715"/>
    <cellStyle name="Normal 8 2" xfId="1317"/>
    <cellStyle name="Normal 8 2 2" xfId="2264"/>
    <cellStyle name="Normal 8 2_Monthly Price Data" xfId="2276"/>
    <cellStyle name="Normal 8 3" xfId="1572"/>
    <cellStyle name="Normal 8 4" xfId="1676"/>
    <cellStyle name="Normal 8 5" xfId="2306"/>
    <cellStyle name="Normal 8 6" xfId="5266"/>
    <cellStyle name="Normal 8 7" xfId="6371"/>
    <cellStyle name="Normal 8 8" xfId="6396"/>
    <cellStyle name="Normal 8 9" xfId="1217"/>
    <cellStyle name="Normal 8_2015  Data" xfId="5267"/>
    <cellStyle name="Normal 80" xfId="716"/>
    <cellStyle name="Normal 80 2" xfId="1723"/>
    <cellStyle name="Normal 81" xfId="717"/>
    <cellStyle name="Normal 81 2" xfId="1971"/>
    <cellStyle name="Normal 82" xfId="718"/>
    <cellStyle name="Normal 82 2" xfId="1973"/>
    <cellStyle name="Normal 83" xfId="719"/>
    <cellStyle name="Normal 83 2" xfId="1972"/>
    <cellStyle name="Normal 84" xfId="23"/>
    <cellStyle name="Normal 84 2" xfId="2646"/>
    <cellStyle name="Normal 84 3" xfId="3509"/>
    <cellStyle name="Normal 84 4" xfId="4377"/>
    <cellStyle name="Normal 84 5" xfId="5673"/>
    <cellStyle name="Normal 84 6" xfId="1666"/>
    <cellStyle name="Normal 85" xfId="896"/>
    <cellStyle name="Normal 85 2" xfId="2897"/>
    <cellStyle name="Normal 85 3" xfId="1991"/>
    <cellStyle name="Normal 86" xfId="888"/>
    <cellStyle name="Normal 86 2" xfId="2901"/>
    <cellStyle name="Normal 86 3" xfId="3764"/>
    <cellStyle name="Normal 86 4" xfId="4640"/>
    <cellStyle name="Normal 86 5" xfId="5949"/>
    <cellStyle name="Normal 86 6" xfId="1995"/>
    <cellStyle name="Normal 87" xfId="720"/>
    <cellStyle name="Normal 87 2" xfId="3155"/>
    <cellStyle name="Normal 87 3" xfId="4025"/>
    <cellStyle name="Normal 87 4" xfId="4904"/>
    <cellStyle name="Normal 87 5" xfId="6213"/>
    <cellStyle name="Normal 87 6" xfId="2250"/>
    <cellStyle name="Normal 88" xfId="153"/>
    <cellStyle name="Normal 88 2" xfId="3157"/>
    <cellStyle name="Normal 88 3" xfId="2252"/>
    <cellStyle name="Normal 89" xfId="830"/>
    <cellStyle name="Normal 89 2" xfId="2260"/>
    <cellStyle name="Normal 9" xfId="1115"/>
    <cellStyle name="Normal 9 10" xfId="1381"/>
    <cellStyle name="Normal 9 10 2" xfId="1752"/>
    <cellStyle name="Normal 9 10 2 2" xfId="2689"/>
    <cellStyle name="Normal 9 10 2 3" xfId="3553"/>
    <cellStyle name="Normal 9 10 2 4" xfId="4425"/>
    <cellStyle name="Normal 9 10 2 5" xfId="5729"/>
    <cellStyle name="Normal 9 10 3" xfId="2038"/>
    <cellStyle name="Normal 9 10 3 2" xfId="2944"/>
    <cellStyle name="Normal 9 10 3 3" xfId="3811"/>
    <cellStyle name="Normal 9 10 3 4" xfId="4689"/>
    <cellStyle name="Normal 9 10 3 5" xfId="5998"/>
    <cellStyle name="Normal 9 10 4" xfId="2438"/>
    <cellStyle name="Normal 9 10 5" xfId="3297"/>
    <cellStyle name="Normal 9 10 6" xfId="4165"/>
    <cellStyle name="Normal 9 10 7" xfId="5451"/>
    <cellStyle name="Normal 9 11" xfId="1386"/>
    <cellStyle name="Normal 9 11 2" xfId="1756"/>
    <cellStyle name="Normal 9 11 2 2" xfId="2693"/>
    <cellStyle name="Normal 9 11 2 3" xfId="3557"/>
    <cellStyle name="Normal 9 11 2 4" xfId="4429"/>
    <cellStyle name="Normal 9 11 2 5" xfId="5733"/>
    <cellStyle name="Normal 9 11 3" xfId="2042"/>
    <cellStyle name="Normal 9 11 3 2" xfId="2948"/>
    <cellStyle name="Normal 9 11 3 3" xfId="3815"/>
    <cellStyle name="Normal 9 11 3 4" xfId="4693"/>
    <cellStyle name="Normal 9 11 3 5" xfId="6002"/>
    <cellStyle name="Normal 9 11 4" xfId="2442"/>
    <cellStyle name="Normal 9 11 5" xfId="3301"/>
    <cellStyle name="Normal 9 11 6" xfId="4169"/>
    <cellStyle name="Normal 9 11 7" xfId="5455"/>
    <cellStyle name="Normal 9 12" xfId="1392"/>
    <cellStyle name="Normal 9 12 2" xfId="1762"/>
    <cellStyle name="Normal 9 12 2 2" xfId="2698"/>
    <cellStyle name="Normal 9 12 2 3" xfId="3562"/>
    <cellStyle name="Normal 9 12 2 4" xfId="4434"/>
    <cellStyle name="Normal 9 12 2 5" xfId="5738"/>
    <cellStyle name="Normal 9 12 3" xfId="2047"/>
    <cellStyle name="Normal 9 12 3 2" xfId="2953"/>
    <cellStyle name="Normal 9 12 3 3" xfId="3820"/>
    <cellStyle name="Normal 9 12 3 4" xfId="4698"/>
    <cellStyle name="Normal 9 12 3 5" xfId="6007"/>
    <cellStyle name="Normal 9 12 4" xfId="2447"/>
    <cellStyle name="Normal 9 12 5" xfId="3306"/>
    <cellStyle name="Normal 9 12 6" xfId="4174"/>
    <cellStyle name="Normal 9 12 7" xfId="5460"/>
    <cellStyle name="Normal 9 13" xfId="1405"/>
    <cellStyle name="Normal 9 13 2" xfId="1773"/>
    <cellStyle name="Normal 9 13 2 2" xfId="2702"/>
    <cellStyle name="Normal 9 13 2 3" xfId="3566"/>
    <cellStyle name="Normal 9 13 2 4" xfId="4438"/>
    <cellStyle name="Normal 9 13 2 5" xfId="5743"/>
    <cellStyle name="Normal 9 13 3" xfId="2051"/>
    <cellStyle name="Normal 9 13 3 2" xfId="2957"/>
    <cellStyle name="Normal 9 13 3 3" xfId="3824"/>
    <cellStyle name="Normal 9 13 3 4" xfId="4702"/>
    <cellStyle name="Normal 9 13 3 5" xfId="6011"/>
    <cellStyle name="Normal 9 13 4" xfId="2451"/>
    <cellStyle name="Normal 9 13 5" xfId="3310"/>
    <cellStyle name="Normal 9 13 6" xfId="4178"/>
    <cellStyle name="Normal 9 13 7" xfId="5465"/>
    <cellStyle name="Normal 9 14" xfId="1412"/>
    <cellStyle name="Normal 9 14 2" xfId="1778"/>
    <cellStyle name="Normal 9 14 2 2" xfId="2706"/>
    <cellStyle name="Normal 9 14 2 3" xfId="3570"/>
    <cellStyle name="Normal 9 14 2 4" xfId="4442"/>
    <cellStyle name="Normal 9 14 2 5" xfId="5747"/>
    <cellStyle name="Normal 9 14 3" xfId="2055"/>
    <cellStyle name="Normal 9 14 3 2" xfId="2961"/>
    <cellStyle name="Normal 9 14 3 3" xfId="3828"/>
    <cellStyle name="Normal 9 14 3 4" xfId="4706"/>
    <cellStyle name="Normal 9 14 3 5" xfId="6015"/>
    <cellStyle name="Normal 9 14 4" xfId="2455"/>
    <cellStyle name="Normal 9 14 5" xfId="3314"/>
    <cellStyle name="Normal 9 14 6" xfId="4182"/>
    <cellStyle name="Normal 9 14 7" xfId="5469"/>
    <cellStyle name="Normal 9 15" xfId="1417"/>
    <cellStyle name="Normal 9 15 2" xfId="1783"/>
    <cellStyle name="Normal 9 15 2 2" xfId="2710"/>
    <cellStyle name="Normal 9 15 2 3" xfId="3574"/>
    <cellStyle name="Normal 9 15 2 4" xfId="4446"/>
    <cellStyle name="Normal 9 15 2 5" xfId="5751"/>
    <cellStyle name="Normal 9 15 3" xfId="2059"/>
    <cellStyle name="Normal 9 15 3 2" xfId="2965"/>
    <cellStyle name="Normal 9 15 3 3" xfId="3832"/>
    <cellStyle name="Normal 9 15 3 4" xfId="4710"/>
    <cellStyle name="Normal 9 15 3 5" xfId="6019"/>
    <cellStyle name="Normal 9 15 4" xfId="2459"/>
    <cellStyle name="Normal 9 15 5" xfId="3318"/>
    <cellStyle name="Normal 9 15 6" xfId="4186"/>
    <cellStyle name="Normal 9 15 7" xfId="5473"/>
    <cellStyle name="Normal 9 16" xfId="1421"/>
    <cellStyle name="Normal 9 16 2" xfId="1787"/>
    <cellStyle name="Normal 9 16 2 2" xfId="2714"/>
    <cellStyle name="Normal 9 16 2 3" xfId="3578"/>
    <cellStyle name="Normal 9 16 2 4" xfId="4450"/>
    <cellStyle name="Normal 9 16 2 5" xfId="5755"/>
    <cellStyle name="Normal 9 16 3" xfId="2063"/>
    <cellStyle name="Normal 9 16 3 2" xfId="2969"/>
    <cellStyle name="Normal 9 16 3 3" xfId="3836"/>
    <cellStyle name="Normal 9 16 3 4" xfId="4714"/>
    <cellStyle name="Normal 9 16 3 5" xfId="6023"/>
    <cellStyle name="Normal 9 16 4" xfId="2463"/>
    <cellStyle name="Normal 9 16 5" xfId="3322"/>
    <cellStyle name="Normal 9 16 6" xfId="4190"/>
    <cellStyle name="Normal 9 16 7" xfId="5477"/>
    <cellStyle name="Normal 9 17" xfId="1431"/>
    <cellStyle name="Normal 9 17 2" xfId="1795"/>
    <cellStyle name="Normal 9 17 2 2" xfId="2722"/>
    <cellStyle name="Normal 9 17 2 3" xfId="3586"/>
    <cellStyle name="Normal 9 17 2 4" xfId="4458"/>
    <cellStyle name="Normal 9 17 2 5" xfId="5763"/>
    <cellStyle name="Normal 9 17 3" xfId="2071"/>
    <cellStyle name="Normal 9 17 3 2" xfId="2977"/>
    <cellStyle name="Normal 9 17 3 3" xfId="3844"/>
    <cellStyle name="Normal 9 17 3 4" xfId="4722"/>
    <cellStyle name="Normal 9 17 3 5" xfId="6031"/>
    <cellStyle name="Normal 9 17 4" xfId="2471"/>
    <cellStyle name="Normal 9 17 5" xfId="3330"/>
    <cellStyle name="Normal 9 17 6" xfId="4198"/>
    <cellStyle name="Normal 9 17 7" xfId="5486"/>
    <cellStyle name="Normal 9 18" xfId="1437"/>
    <cellStyle name="Normal 9 18 2" xfId="1801"/>
    <cellStyle name="Normal 9 18 2 2" xfId="2727"/>
    <cellStyle name="Normal 9 18 2 3" xfId="3591"/>
    <cellStyle name="Normal 9 18 2 4" xfId="4463"/>
    <cellStyle name="Normal 9 18 2 5" xfId="5768"/>
    <cellStyle name="Normal 9 18 3" xfId="2076"/>
    <cellStyle name="Normal 9 18 3 2" xfId="2982"/>
    <cellStyle name="Normal 9 18 3 3" xfId="3849"/>
    <cellStyle name="Normal 9 18 3 4" xfId="4727"/>
    <cellStyle name="Normal 9 18 3 5" xfId="6036"/>
    <cellStyle name="Normal 9 18 4" xfId="2476"/>
    <cellStyle name="Normal 9 18 5" xfId="3335"/>
    <cellStyle name="Normal 9 18 6" xfId="4203"/>
    <cellStyle name="Normal 9 18 7" xfId="5491"/>
    <cellStyle name="Normal 9 19" xfId="1665"/>
    <cellStyle name="Normal 9 19 2" xfId="1970"/>
    <cellStyle name="Normal 9 19 2 2" xfId="2895"/>
    <cellStyle name="Normal 9 19 2 3" xfId="3759"/>
    <cellStyle name="Normal 9 19 2 4" xfId="4634"/>
    <cellStyle name="Normal 9 19 2 5" xfId="5939"/>
    <cellStyle name="Normal 9 19 3" xfId="2244"/>
    <cellStyle name="Normal 9 19 3 2" xfId="3150"/>
    <cellStyle name="Normal 9 19 3 3" xfId="4020"/>
    <cellStyle name="Normal 9 19 3 4" xfId="4898"/>
    <cellStyle name="Normal 9 19 3 5" xfId="6207"/>
    <cellStyle name="Normal 9 19 4" xfId="2645"/>
    <cellStyle name="Normal 9 19 5" xfId="3508"/>
    <cellStyle name="Normal 9 19 6" xfId="4376"/>
    <cellStyle name="Normal 9 19 7" xfId="5672"/>
    <cellStyle name="Normal 9 2" xfId="1280"/>
    <cellStyle name="Normal 9 2 10" xfId="5269"/>
    <cellStyle name="Normal 9 2 11" xfId="5402"/>
    <cellStyle name="Normal 9 2 2" xfId="1573"/>
    <cellStyle name="Normal 9 2 2 10" xfId="5612"/>
    <cellStyle name="Normal 9 2 2 2" xfId="1574"/>
    <cellStyle name="Normal 9 2 2 2 2" xfId="1913"/>
    <cellStyle name="Normal 9 2 2 2 2 2" xfId="2839"/>
    <cellStyle name="Normal 9 2 2 2 2 3" xfId="3703"/>
    <cellStyle name="Normal 9 2 2 2 2 4" xfId="4578"/>
    <cellStyle name="Normal 9 2 2 2 2 5" xfId="5272"/>
    <cellStyle name="Normal 9 2 2 2 2 6" xfId="5883"/>
    <cellStyle name="Normal 9 2 2 2 2_Monthly Price Data Petroleum" xfId="6377"/>
    <cellStyle name="Normal 9 2 2 2 3" xfId="2188"/>
    <cellStyle name="Normal 9 2 2 2 3 2" xfId="3094"/>
    <cellStyle name="Normal 9 2 2 2 3 3" xfId="3964"/>
    <cellStyle name="Normal 9 2 2 2 3 4" xfId="4842"/>
    <cellStyle name="Normal 9 2 2 2 3 5" xfId="6151"/>
    <cellStyle name="Normal 9 2 2 2 4" xfId="2589"/>
    <cellStyle name="Normal 9 2 2 2 5" xfId="3452"/>
    <cellStyle name="Normal 9 2 2 2 6" xfId="4320"/>
    <cellStyle name="Normal 9 2 2 2 7" xfId="5271"/>
    <cellStyle name="Normal 9 2 2 2 8" xfId="5613"/>
    <cellStyle name="Normal 9 2 2 2_Monthly Price Data Petroleum" xfId="5392"/>
    <cellStyle name="Normal 9 2 2 3" xfId="1912"/>
    <cellStyle name="Normal 9 2 2 3 2" xfId="2838"/>
    <cellStyle name="Normal 9 2 2 3 3" xfId="3702"/>
    <cellStyle name="Normal 9 2 2 3 4" xfId="4577"/>
    <cellStyle name="Normal 9 2 2 3 5" xfId="5273"/>
    <cellStyle name="Normal 9 2 2 3 6" xfId="5882"/>
    <cellStyle name="Normal 9 2 2 3_Monthly Price Data Petroleum" xfId="6383"/>
    <cellStyle name="Normal 9 2 2 4" xfId="2187"/>
    <cellStyle name="Normal 9 2 2 4 2" xfId="3093"/>
    <cellStyle name="Normal 9 2 2 4 3" xfId="3963"/>
    <cellStyle name="Normal 9 2 2 4 4" xfId="4841"/>
    <cellStyle name="Normal 9 2 2 4 5" xfId="6150"/>
    <cellStyle name="Normal 9 2 2 5" xfId="2384"/>
    <cellStyle name="Normal 9 2 2 5 2" xfId="3243"/>
    <cellStyle name="Normal 9 2 2 5 3" xfId="4109"/>
    <cellStyle name="Normal 9 2 2 5 4" xfId="4988"/>
    <cellStyle name="Normal 9 2 2 5 5" xfId="6298"/>
    <cellStyle name="Normal 9 2 2 6" xfId="2588"/>
    <cellStyle name="Normal 9 2 2 7" xfId="3451"/>
    <cellStyle name="Normal 9 2 2 8" xfId="4319"/>
    <cellStyle name="Normal 9 2 2 9" xfId="5270"/>
    <cellStyle name="Normal 9 2 2_Monthly Price Data" xfId="2299"/>
    <cellStyle name="Normal 9 2 3" xfId="1575"/>
    <cellStyle name="Normal 9 2 3 2" xfId="1914"/>
    <cellStyle name="Normal 9 2 3 2 2" xfId="2840"/>
    <cellStyle name="Normal 9 2 3 2 3" xfId="3704"/>
    <cellStyle name="Normal 9 2 3 2 4" xfId="4579"/>
    <cellStyle name="Normal 9 2 3 2 5" xfId="5275"/>
    <cellStyle name="Normal 9 2 3 2 6" xfId="5884"/>
    <cellStyle name="Normal 9 2 3 2_Monthly Price Data Petroleum" xfId="6369"/>
    <cellStyle name="Normal 9 2 3 3" xfId="2189"/>
    <cellStyle name="Normal 9 2 3 3 2" xfId="3095"/>
    <cellStyle name="Normal 9 2 3 3 3" xfId="3965"/>
    <cellStyle name="Normal 9 2 3 3 4" xfId="4843"/>
    <cellStyle name="Normal 9 2 3 3 5" xfId="6152"/>
    <cellStyle name="Normal 9 2 3 4" xfId="2590"/>
    <cellStyle name="Normal 9 2 3 5" xfId="3453"/>
    <cellStyle name="Normal 9 2 3 6" xfId="4321"/>
    <cellStyle name="Normal 9 2 3 7" xfId="5274"/>
    <cellStyle name="Normal 9 2 3 8" xfId="5614"/>
    <cellStyle name="Normal 9 2 3_Monthly Price Data Petroleum" xfId="6392"/>
    <cellStyle name="Normal 9 2 4" xfId="1688"/>
    <cellStyle name="Normal 9 2 4 2" xfId="2656"/>
    <cellStyle name="Normal 9 2 4 3" xfId="3519"/>
    <cellStyle name="Normal 9 2 4 4" xfId="4390"/>
    <cellStyle name="Normal 9 2 4 5" xfId="5276"/>
    <cellStyle name="Normal 9 2 4 6" xfId="5690"/>
    <cellStyle name="Normal 9 2 4_Monthly Price Data Petroleum" xfId="6324"/>
    <cellStyle name="Normal 9 2 5" xfId="2005"/>
    <cellStyle name="Normal 9 2 5 2" xfId="2911"/>
    <cellStyle name="Normal 9 2 5 3" xfId="3777"/>
    <cellStyle name="Normal 9 2 5 4" xfId="4654"/>
    <cellStyle name="Normal 9 2 5 5" xfId="5963"/>
    <cellStyle name="Normal 9 2 6" xfId="2340"/>
    <cellStyle name="Normal 9 2 6 2" xfId="3199"/>
    <cellStyle name="Normal 9 2 6 3" xfId="4065"/>
    <cellStyle name="Normal 9 2 6 4" xfId="4944"/>
    <cellStyle name="Normal 9 2 6 5" xfId="6254"/>
    <cellStyle name="Normal 9 2 7" xfId="2405"/>
    <cellStyle name="Normal 9 2 8" xfId="3264"/>
    <cellStyle name="Normal 9 2 9" xfId="4130"/>
    <cellStyle name="Normal 9 2_Monthly Price Data" xfId="2278"/>
    <cellStyle name="Normal 9 20" xfId="1680"/>
    <cellStyle name="Normal 9 20 2" xfId="1998"/>
    <cellStyle name="Normal 9 20 2 2" xfId="2904"/>
    <cellStyle name="Normal 9 20 2 3" xfId="3770"/>
    <cellStyle name="Normal 9 20 2 4" xfId="4647"/>
    <cellStyle name="Normal 9 20 2 5" xfId="5956"/>
    <cellStyle name="Normal 9 20 3" xfId="2649"/>
    <cellStyle name="Normal 9 20 4" xfId="3512"/>
    <cellStyle name="Normal 9 20 5" xfId="4383"/>
    <cellStyle name="Normal 9 20 6" xfId="5683"/>
    <cellStyle name="Normal 9 21" xfId="2256"/>
    <cellStyle name="Normal 9 21 2" xfId="3161"/>
    <cellStyle name="Normal 9 21 3" xfId="4030"/>
    <cellStyle name="Normal 9 21 4" xfId="4909"/>
    <cellStyle name="Normal 9 21 5" xfId="6218"/>
    <cellStyle name="Normal 9 22" xfId="2300"/>
    <cellStyle name="Normal 9 22 2" xfId="3170"/>
    <cellStyle name="Normal 9 22 3" xfId="4038"/>
    <cellStyle name="Normal 9 22 4" xfId="4917"/>
    <cellStyle name="Normal 9 22 5" xfId="6227"/>
    <cellStyle name="Normal 9 23" xfId="2398"/>
    <cellStyle name="Normal 9 24" xfId="3257"/>
    <cellStyle name="Normal 9 25" xfId="4123"/>
    <cellStyle name="Normal 9 26" xfId="5268"/>
    <cellStyle name="Normal 9 27" xfId="5395"/>
    <cellStyle name="Normal 9 28" xfId="1271"/>
    <cellStyle name="Normal 9 3" xfId="1292"/>
    <cellStyle name="Normal 9 3 10" xfId="5408"/>
    <cellStyle name="Normal 9 3 2" xfId="1576"/>
    <cellStyle name="Normal 9 3 2 2" xfId="1915"/>
    <cellStyle name="Normal 9 3 2 2 2" xfId="2841"/>
    <cellStyle name="Normal 9 3 2 2 3" xfId="3705"/>
    <cellStyle name="Normal 9 3 2 2 4" xfId="4580"/>
    <cellStyle name="Normal 9 3 2 2 5" xfId="5279"/>
    <cellStyle name="Normal 9 3 2 2 6" xfId="5885"/>
    <cellStyle name="Normal 9 3 2 2_Monthly Price Data Petroleum" xfId="6397"/>
    <cellStyle name="Normal 9 3 2 3" xfId="2190"/>
    <cellStyle name="Normal 9 3 2 3 2" xfId="3096"/>
    <cellStyle name="Normal 9 3 2 3 3" xfId="3966"/>
    <cellStyle name="Normal 9 3 2 3 4" xfId="4844"/>
    <cellStyle name="Normal 9 3 2 3 5" xfId="6153"/>
    <cellStyle name="Normal 9 3 2 4" xfId="2591"/>
    <cellStyle name="Normal 9 3 2 5" xfId="3454"/>
    <cellStyle name="Normal 9 3 2 6" xfId="4322"/>
    <cellStyle name="Normal 9 3 2 7" xfId="5278"/>
    <cellStyle name="Normal 9 3 2 8" xfId="5615"/>
    <cellStyle name="Normal 9 3 2_Monthly Price Data Petroleum" xfId="6346"/>
    <cellStyle name="Normal 9 3 3" xfId="1699"/>
    <cellStyle name="Normal 9 3 3 2" xfId="2660"/>
    <cellStyle name="Normal 9 3 3 3" xfId="3523"/>
    <cellStyle name="Normal 9 3 3 4" xfId="4394"/>
    <cellStyle name="Normal 9 3 3 5" xfId="5280"/>
    <cellStyle name="Normal 9 3 3 6" xfId="5696"/>
    <cellStyle name="Normal 9 3 3_Monthly Price Data Petroleum" xfId="6322"/>
    <cellStyle name="Normal 9 3 4" xfId="2009"/>
    <cellStyle name="Normal 9 3 4 2" xfId="2915"/>
    <cellStyle name="Normal 9 3 4 3" xfId="3781"/>
    <cellStyle name="Normal 9 3 4 4" xfId="4658"/>
    <cellStyle name="Normal 9 3 4 5" xfId="5967"/>
    <cellStyle name="Normal 9 3 5" xfId="2362"/>
    <cellStyle name="Normal 9 3 5 2" xfId="3221"/>
    <cellStyle name="Normal 9 3 5 3" xfId="4087"/>
    <cellStyle name="Normal 9 3 5 4" xfId="4966"/>
    <cellStyle name="Normal 9 3 5 5" xfId="6276"/>
    <cellStyle name="Normal 9 3 6" xfId="2409"/>
    <cellStyle name="Normal 9 3 7" xfId="3268"/>
    <cellStyle name="Normal 9 3 8" xfId="4134"/>
    <cellStyle name="Normal 9 3 9" xfId="5277"/>
    <cellStyle name="Normal 9 3_Monthly Price Data" xfId="2315"/>
    <cellStyle name="Normal 9 4" xfId="1299"/>
    <cellStyle name="Normal 9 4 2" xfId="1706"/>
    <cellStyle name="Normal 9 4 2 2" xfId="2664"/>
    <cellStyle name="Normal 9 4 2 3" xfId="3527"/>
    <cellStyle name="Normal 9 4 2 4" xfId="4398"/>
    <cellStyle name="Normal 9 4 2 5" xfId="5282"/>
    <cellStyle name="Normal 9 4 2 6" xfId="5700"/>
    <cellStyle name="Normal 9 4 2_Monthly Price Data Petroleum" xfId="6326"/>
    <cellStyle name="Normal 9 4 3" xfId="2013"/>
    <cellStyle name="Normal 9 4 3 2" xfId="2919"/>
    <cellStyle name="Normal 9 4 3 3" xfId="3785"/>
    <cellStyle name="Normal 9 4 3 4" xfId="4662"/>
    <cellStyle name="Normal 9 4 3 5" xfId="5971"/>
    <cellStyle name="Normal 9 4 4" xfId="2413"/>
    <cellStyle name="Normal 9 4 5" xfId="3272"/>
    <cellStyle name="Normal 9 4 6" xfId="4138"/>
    <cellStyle name="Normal 9 4 7" xfId="5281"/>
    <cellStyle name="Normal 9 4 8" xfId="5412"/>
    <cellStyle name="Normal 9 4_Monthly Price Data Petroleum" xfId="6333"/>
    <cellStyle name="Normal 9 5" xfId="1307"/>
    <cellStyle name="Normal 9 5 2" xfId="1713"/>
    <cellStyle name="Normal 9 5 2 2" xfId="2668"/>
    <cellStyle name="Normal 9 5 2 3" xfId="3531"/>
    <cellStyle name="Normal 9 5 2 4" xfId="4402"/>
    <cellStyle name="Normal 9 5 2 5" xfId="5704"/>
    <cellStyle name="Normal 9 5 3" xfId="2017"/>
    <cellStyle name="Normal 9 5 3 2" xfId="2923"/>
    <cellStyle name="Normal 9 5 3 3" xfId="3789"/>
    <cellStyle name="Normal 9 5 3 4" xfId="4666"/>
    <cellStyle name="Normal 9 5 3 5" xfId="5975"/>
    <cellStyle name="Normal 9 5 4" xfId="2417"/>
    <cellStyle name="Normal 9 5 5" xfId="3276"/>
    <cellStyle name="Normal 9 5 6" xfId="4142"/>
    <cellStyle name="Normal 9 5 7" xfId="5283"/>
    <cellStyle name="Normal 9 5 8" xfId="5416"/>
    <cellStyle name="Normal 9 5_Monthly Price Data Petroleum" xfId="6391"/>
    <cellStyle name="Normal 9 6" xfId="1318"/>
    <cellStyle name="Normal 9 7" xfId="1351"/>
    <cellStyle name="Normal 9 7 2" xfId="1722"/>
    <cellStyle name="Normal 9 7 2 2" xfId="2672"/>
    <cellStyle name="Normal 9 7 2 3" xfId="3535"/>
    <cellStyle name="Normal 9 7 2 4" xfId="4407"/>
    <cellStyle name="Normal 9 7 2 5" xfId="5710"/>
    <cellStyle name="Normal 9 7 3" xfId="2021"/>
    <cellStyle name="Normal 9 7 3 2" xfId="2927"/>
    <cellStyle name="Normal 9 7 3 3" xfId="3793"/>
    <cellStyle name="Normal 9 7 3 4" xfId="4671"/>
    <cellStyle name="Normal 9 7 3 5" xfId="5980"/>
    <cellStyle name="Normal 9 7 4" xfId="2421"/>
    <cellStyle name="Normal 9 7 5" xfId="3280"/>
    <cellStyle name="Normal 9 7 6" xfId="4146"/>
    <cellStyle name="Normal 9 7 7" xfId="5428"/>
    <cellStyle name="Normal 9 8" xfId="1358"/>
    <cellStyle name="Normal 9 8 2" xfId="1729"/>
    <cellStyle name="Normal 9 8 2 2" xfId="2676"/>
    <cellStyle name="Normal 9 8 2 3" xfId="3540"/>
    <cellStyle name="Normal 9 8 2 4" xfId="4412"/>
    <cellStyle name="Normal 9 8 2 5" xfId="5715"/>
    <cellStyle name="Normal 9 8 3" xfId="2025"/>
    <cellStyle name="Normal 9 8 3 2" xfId="2931"/>
    <cellStyle name="Normal 9 8 3 3" xfId="3798"/>
    <cellStyle name="Normal 9 8 3 4" xfId="4676"/>
    <cellStyle name="Normal 9 8 3 5" xfId="5985"/>
    <cellStyle name="Normal 9 8 4" xfId="2425"/>
    <cellStyle name="Normal 9 8 5" xfId="3284"/>
    <cellStyle name="Normal 9 8 6" xfId="4152"/>
    <cellStyle name="Normal 9 8 7" xfId="5435"/>
    <cellStyle name="Normal 9 9" xfId="1373"/>
    <cellStyle name="Normal 9 9 2" xfId="1744"/>
    <cellStyle name="Normal 9 9 2 2" xfId="2683"/>
    <cellStyle name="Normal 9 9 2 3" xfId="3547"/>
    <cellStyle name="Normal 9 9 2 4" xfId="4419"/>
    <cellStyle name="Normal 9 9 2 5" xfId="5723"/>
    <cellStyle name="Normal 9 9 3" xfId="2032"/>
    <cellStyle name="Normal 9 9 3 2" xfId="2938"/>
    <cellStyle name="Normal 9 9 3 3" xfId="3805"/>
    <cellStyle name="Normal 9 9 3 4" xfId="4683"/>
    <cellStyle name="Normal 9 9 3 5" xfId="5992"/>
    <cellStyle name="Normal 9 9 4" xfId="2432"/>
    <cellStyle name="Normal 9 9 5" xfId="3291"/>
    <cellStyle name="Normal 9 9 6" xfId="4159"/>
    <cellStyle name="Normal 9 9 7" xfId="5445"/>
    <cellStyle name="Normal 9_2015  Data" xfId="5284"/>
    <cellStyle name="Normal 90" xfId="831"/>
    <cellStyle name="Normal 90 2" xfId="3165"/>
    <cellStyle name="Normal 90 3" xfId="2261"/>
    <cellStyle name="Normal 91" xfId="832"/>
    <cellStyle name="Normal 91 2" xfId="3171"/>
    <cellStyle name="Normal 91 3" xfId="2302"/>
    <cellStyle name="Normal 92" xfId="833"/>
    <cellStyle name="Normal 92 2" xfId="3174"/>
    <cellStyle name="Normal 92 3" xfId="2307"/>
    <cellStyle name="Normal 93" xfId="834"/>
    <cellStyle name="Normal 93 2" xfId="5002"/>
    <cellStyle name="Normal 94" xfId="835"/>
    <cellStyle name="Normal 94 2" xfId="6331"/>
    <cellStyle name="Normal 95" xfId="836"/>
    <cellStyle name="Normal 95 2" xfId="6325"/>
    <cellStyle name="Normal 96" xfId="837"/>
    <cellStyle name="Normal 96 2" xfId="6404"/>
    <cellStyle name="Normal 97" xfId="838"/>
    <cellStyle name="Normal 97 2" xfId="6405"/>
    <cellStyle name="Normal 98" xfId="2"/>
    <cellStyle name="Normal 98 2" xfId="6408"/>
    <cellStyle name="Normal 99" xfId="3"/>
    <cellStyle name="Normal 99 2" xfId="6409"/>
    <cellStyle name="Normal_Comparison 2015 and 2016" xfId="6606"/>
    <cellStyle name="Note" xfId="172" builtinId="10" customBuiltin="1"/>
    <cellStyle name="Note 10" xfId="6617"/>
    <cellStyle name="Note 11" xfId="6618"/>
    <cellStyle name="Note 2" xfId="6406"/>
    <cellStyle name="Note 2 2" xfId="6619"/>
    <cellStyle name="Note 3" xfId="6449"/>
    <cellStyle name="Note 3 2" xfId="6620"/>
    <cellStyle name="Note 4" xfId="6450"/>
    <cellStyle name="Note 5" xfId="6621"/>
    <cellStyle name="Note 6" xfId="6622"/>
    <cellStyle name="Note 7" xfId="6623"/>
    <cellStyle name="Note 8" xfId="6624"/>
    <cellStyle name="Note 9" xfId="6625"/>
    <cellStyle name="Output" xfId="167" builtinId="21" customBuiltin="1"/>
    <cellStyle name="Percent" xfId="131" builtinId="5"/>
    <cellStyle name="Percent 2" xfId="1313"/>
    <cellStyle name="Percent 2 2" xfId="1367"/>
    <cellStyle name="Percent 2 2 10" xfId="2428"/>
    <cellStyle name="Percent 2 2 11" xfId="3287"/>
    <cellStyle name="Percent 2 2 12" xfId="4155"/>
    <cellStyle name="Percent 2 2 13" xfId="5285"/>
    <cellStyle name="Percent 2 2 14" xfId="5440"/>
    <cellStyle name="Percent 2 2 2" xfId="1577"/>
    <cellStyle name="Percent 2 2 2 10" xfId="4323"/>
    <cellStyle name="Percent 2 2 2 11" xfId="5286"/>
    <cellStyle name="Percent 2 2 2 12" xfId="5616"/>
    <cellStyle name="Percent 2 2 2 2" xfId="1578"/>
    <cellStyle name="Percent 2 2 2 2 10" xfId="5287"/>
    <cellStyle name="Percent 2 2 2 2 11" xfId="5617"/>
    <cellStyle name="Percent 2 2 2 2 2" xfId="1579"/>
    <cellStyle name="Percent 2 2 2 2 2 10" xfId="5618"/>
    <cellStyle name="Percent 2 2 2 2 2 2" xfId="1580"/>
    <cellStyle name="Percent 2 2 2 2 2 2 2" xfId="1919"/>
    <cellStyle name="Percent 2 2 2 2 2 2 2 2" xfId="2845"/>
    <cellStyle name="Percent 2 2 2 2 2 2 2 3" xfId="3709"/>
    <cellStyle name="Percent 2 2 2 2 2 2 2 4" xfId="4584"/>
    <cellStyle name="Percent 2 2 2 2 2 2 2 5" xfId="5290"/>
    <cellStyle name="Percent 2 2 2 2 2 2 2 6" xfId="5889"/>
    <cellStyle name="Percent 2 2 2 2 2 2 3" xfId="2194"/>
    <cellStyle name="Percent 2 2 2 2 2 2 3 2" xfId="3100"/>
    <cellStyle name="Percent 2 2 2 2 2 2 3 3" xfId="3970"/>
    <cellStyle name="Percent 2 2 2 2 2 2 3 4" xfId="4848"/>
    <cellStyle name="Percent 2 2 2 2 2 2 3 5" xfId="6157"/>
    <cellStyle name="Percent 2 2 2 2 2 2 4" xfId="2595"/>
    <cellStyle name="Percent 2 2 2 2 2 2 5" xfId="3458"/>
    <cellStyle name="Percent 2 2 2 2 2 2 6" xfId="4326"/>
    <cellStyle name="Percent 2 2 2 2 2 2 7" xfId="5289"/>
    <cellStyle name="Percent 2 2 2 2 2 2 8" xfId="5619"/>
    <cellStyle name="Percent 2 2 2 2 2 3" xfId="1918"/>
    <cellStyle name="Percent 2 2 2 2 2 3 2" xfId="2844"/>
    <cellStyle name="Percent 2 2 2 2 2 3 3" xfId="3708"/>
    <cellStyle name="Percent 2 2 2 2 2 3 4" xfId="4583"/>
    <cellStyle name="Percent 2 2 2 2 2 3 5" xfId="5291"/>
    <cellStyle name="Percent 2 2 2 2 2 3 6" xfId="5888"/>
    <cellStyle name="Percent 2 2 2 2 2 4" xfId="2193"/>
    <cellStyle name="Percent 2 2 2 2 2 4 2" xfId="3099"/>
    <cellStyle name="Percent 2 2 2 2 2 4 3" xfId="3969"/>
    <cellStyle name="Percent 2 2 2 2 2 4 4" xfId="4847"/>
    <cellStyle name="Percent 2 2 2 2 2 4 5" xfId="6156"/>
    <cellStyle name="Percent 2 2 2 2 2 5" xfId="2388"/>
    <cellStyle name="Percent 2 2 2 2 2 5 2" xfId="3247"/>
    <cellStyle name="Percent 2 2 2 2 2 5 3" xfId="4113"/>
    <cellStyle name="Percent 2 2 2 2 2 5 4" xfId="4992"/>
    <cellStyle name="Percent 2 2 2 2 2 5 5" xfId="6302"/>
    <cellStyle name="Percent 2 2 2 2 2 6" xfId="2594"/>
    <cellStyle name="Percent 2 2 2 2 2 7" xfId="3457"/>
    <cellStyle name="Percent 2 2 2 2 2 8" xfId="4325"/>
    <cellStyle name="Percent 2 2 2 2 2 9" xfId="5288"/>
    <cellStyle name="Percent 2 2 2 2 3" xfId="1581"/>
    <cellStyle name="Percent 2 2 2 2 3 2" xfId="1920"/>
    <cellStyle name="Percent 2 2 2 2 3 2 2" xfId="2846"/>
    <cellStyle name="Percent 2 2 2 2 3 2 3" xfId="3710"/>
    <cellStyle name="Percent 2 2 2 2 3 2 4" xfId="4585"/>
    <cellStyle name="Percent 2 2 2 2 3 2 5" xfId="5293"/>
    <cellStyle name="Percent 2 2 2 2 3 2 6" xfId="5890"/>
    <cellStyle name="Percent 2 2 2 2 3 3" xfId="2195"/>
    <cellStyle name="Percent 2 2 2 2 3 3 2" xfId="3101"/>
    <cellStyle name="Percent 2 2 2 2 3 3 3" xfId="3971"/>
    <cellStyle name="Percent 2 2 2 2 3 3 4" xfId="4849"/>
    <cellStyle name="Percent 2 2 2 2 3 3 5" xfId="6158"/>
    <cellStyle name="Percent 2 2 2 2 3 4" xfId="2596"/>
    <cellStyle name="Percent 2 2 2 2 3 5" xfId="3459"/>
    <cellStyle name="Percent 2 2 2 2 3 6" xfId="4327"/>
    <cellStyle name="Percent 2 2 2 2 3 7" xfId="5292"/>
    <cellStyle name="Percent 2 2 2 2 3 8" xfId="5620"/>
    <cellStyle name="Percent 2 2 2 2 4" xfId="1917"/>
    <cellStyle name="Percent 2 2 2 2 4 2" xfId="2843"/>
    <cellStyle name="Percent 2 2 2 2 4 3" xfId="3707"/>
    <cellStyle name="Percent 2 2 2 2 4 4" xfId="4582"/>
    <cellStyle name="Percent 2 2 2 2 4 5" xfId="5294"/>
    <cellStyle name="Percent 2 2 2 2 4 6" xfId="5887"/>
    <cellStyle name="Percent 2 2 2 2 5" xfId="2192"/>
    <cellStyle name="Percent 2 2 2 2 5 2" xfId="3098"/>
    <cellStyle name="Percent 2 2 2 2 5 3" xfId="3968"/>
    <cellStyle name="Percent 2 2 2 2 5 4" xfId="4846"/>
    <cellStyle name="Percent 2 2 2 2 5 5" xfId="6155"/>
    <cellStyle name="Percent 2 2 2 2 6" xfId="2344"/>
    <cellStyle name="Percent 2 2 2 2 6 2" xfId="3203"/>
    <cellStyle name="Percent 2 2 2 2 6 3" xfId="4069"/>
    <cellStyle name="Percent 2 2 2 2 6 4" xfId="4948"/>
    <cellStyle name="Percent 2 2 2 2 6 5" xfId="6258"/>
    <cellStyle name="Percent 2 2 2 2 7" xfId="2593"/>
    <cellStyle name="Percent 2 2 2 2 8" xfId="3456"/>
    <cellStyle name="Percent 2 2 2 2 9" xfId="4324"/>
    <cellStyle name="Percent 2 2 2 3" xfId="1582"/>
    <cellStyle name="Percent 2 2 2 3 10" xfId="5621"/>
    <cellStyle name="Percent 2 2 2 3 2" xfId="1583"/>
    <cellStyle name="Percent 2 2 2 3 2 2" xfId="1922"/>
    <cellStyle name="Percent 2 2 2 3 2 2 2" xfId="2848"/>
    <cellStyle name="Percent 2 2 2 3 2 2 3" xfId="3712"/>
    <cellStyle name="Percent 2 2 2 3 2 2 4" xfId="4587"/>
    <cellStyle name="Percent 2 2 2 3 2 2 5" xfId="5297"/>
    <cellStyle name="Percent 2 2 2 3 2 2 6" xfId="5892"/>
    <cellStyle name="Percent 2 2 2 3 2 3" xfId="2197"/>
    <cellStyle name="Percent 2 2 2 3 2 3 2" xfId="3103"/>
    <cellStyle name="Percent 2 2 2 3 2 3 3" xfId="3973"/>
    <cellStyle name="Percent 2 2 2 3 2 3 4" xfId="4851"/>
    <cellStyle name="Percent 2 2 2 3 2 3 5" xfId="6160"/>
    <cellStyle name="Percent 2 2 2 3 2 4" xfId="2598"/>
    <cellStyle name="Percent 2 2 2 3 2 5" xfId="3461"/>
    <cellStyle name="Percent 2 2 2 3 2 6" xfId="4329"/>
    <cellStyle name="Percent 2 2 2 3 2 7" xfId="5296"/>
    <cellStyle name="Percent 2 2 2 3 2 8" xfId="5622"/>
    <cellStyle name="Percent 2 2 2 3 3" xfId="1921"/>
    <cellStyle name="Percent 2 2 2 3 3 2" xfId="2847"/>
    <cellStyle name="Percent 2 2 2 3 3 3" xfId="3711"/>
    <cellStyle name="Percent 2 2 2 3 3 4" xfId="4586"/>
    <cellStyle name="Percent 2 2 2 3 3 5" xfId="5298"/>
    <cellStyle name="Percent 2 2 2 3 3 6" xfId="5891"/>
    <cellStyle name="Percent 2 2 2 3 4" xfId="2196"/>
    <cellStyle name="Percent 2 2 2 3 4 2" xfId="3102"/>
    <cellStyle name="Percent 2 2 2 3 4 3" xfId="3972"/>
    <cellStyle name="Percent 2 2 2 3 4 4" xfId="4850"/>
    <cellStyle name="Percent 2 2 2 3 4 5" xfId="6159"/>
    <cellStyle name="Percent 2 2 2 3 5" xfId="2366"/>
    <cellStyle name="Percent 2 2 2 3 5 2" xfId="3225"/>
    <cellStyle name="Percent 2 2 2 3 5 3" xfId="4091"/>
    <cellStyle name="Percent 2 2 2 3 5 4" xfId="4970"/>
    <cellStyle name="Percent 2 2 2 3 5 5" xfId="6280"/>
    <cellStyle name="Percent 2 2 2 3 6" xfId="2597"/>
    <cellStyle name="Percent 2 2 2 3 7" xfId="3460"/>
    <cellStyle name="Percent 2 2 2 3 8" xfId="4328"/>
    <cellStyle name="Percent 2 2 2 3 9" xfId="5295"/>
    <cellStyle name="Percent 2 2 2 4" xfId="1584"/>
    <cellStyle name="Percent 2 2 2 4 2" xfId="1923"/>
    <cellStyle name="Percent 2 2 2 4 2 2" xfId="2849"/>
    <cellStyle name="Percent 2 2 2 4 2 3" xfId="3713"/>
    <cellStyle name="Percent 2 2 2 4 2 4" xfId="4588"/>
    <cellStyle name="Percent 2 2 2 4 2 5" xfId="5300"/>
    <cellStyle name="Percent 2 2 2 4 2 6" xfId="5893"/>
    <cellStyle name="Percent 2 2 2 4 3" xfId="2198"/>
    <cellStyle name="Percent 2 2 2 4 3 2" xfId="3104"/>
    <cellStyle name="Percent 2 2 2 4 3 3" xfId="3974"/>
    <cellStyle name="Percent 2 2 2 4 3 4" xfId="4852"/>
    <cellStyle name="Percent 2 2 2 4 3 5" xfId="6161"/>
    <cellStyle name="Percent 2 2 2 4 4" xfId="2599"/>
    <cellStyle name="Percent 2 2 2 4 5" xfId="3462"/>
    <cellStyle name="Percent 2 2 2 4 6" xfId="4330"/>
    <cellStyle name="Percent 2 2 2 4 7" xfId="5299"/>
    <cellStyle name="Percent 2 2 2 4 8" xfId="5623"/>
    <cellStyle name="Percent 2 2 2 5" xfId="1916"/>
    <cellStyle name="Percent 2 2 2 5 2" xfId="2842"/>
    <cellStyle name="Percent 2 2 2 5 3" xfId="3706"/>
    <cellStyle name="Percent 2 2 2 5 4" xfId="4581"/>
    <cellStyle name="Percent 2 2 2 5 5" xfId="5301"/>
    <cellStyle name="Percent 2 2 2 5 6" xfId="5886"/>
    <cellStyle name="Percent 2 2 2 6" xfId="2191"/>
    <cellStyle name="Percent 2 2 2 6 2" xfId="3097"/>
    <cellStyle name="Percent 2 2 2 6 3" xfId="3967"/>
    <cellStyle name="Percent 2 2 2 6 4" xfId="4845"/>
    <cellStyle name="Percent 2 2 2 6 5" xfId="6154"/>
    <cellStyle name="Percent 2 2 2 7" xfId="2322"/>
    <cellStyle name="Percent 2 2 2 7 2" xfId="3181"/>
    <cellStyle name="Percent 2 2 2 7 3" xfId="4047"/>
    <cellStyle name="Percent 2 2 2 7 4" xfId="4926"/>
    <cellStyle name="Percent 2 2 2 7 5" xfId="6236"/>
    <cellStyle name="Percent 2 2 2 8" xfId="2592"/>
    <cellStyle name="Percent 2 2 2 9" xfId="3455"/>
    <cellStyle name="Percent 2 2 3" xfId="1585"/>
    <cellStyle name="Percent 2 2 3 10" xfId="5302"/>
    <cellStyle name="Percent 2 2 3 11" xfId="5624"/>
    <cellStyle name="Percent 2 2 3 2" xfId="1586"/>
    <cellStyle name="Percent 2 2 3 2 10" xfId="5625"/>
    <cellStyle name="Percent 2 2 3 2 2" xfId="1587"/>
    <cellStyle name="Percent 2 2 3 2 2 2" xfId="1926"/>
    <cellStyle name="Percent 2 2 3 2 2 2 2" xfId="2852"/>
    <cellStyle name="Percent 2 2 3 2 2 2 3" xfId="3716"/>
    <cellStyle name="Percent 2 2 3 2 2 2 4" xfId="4591"/>
    <cellStyle name="Percent 2 2 3 2 2 2 5" xfId="5305"/>
    <cellStyle name="Percent 2 2 3 2 2 2 6" xfId="5896"/>
    <cellStyle name="Percent 2 2 3 2 2 3" xfId="2201"/>
    <cellStyle name="Percent 2 2 3 2 2 3 2" xfId="3107"/>
    <cellStyle name="Percent 2 2 3 2 2 3 3" xfId="3977"/>
    <cellStyle name="Percent 2 2 3 2 2 3 4" xfId="4855"/>
    <cellStyle name="Percent 2 2 3 2 2 3 5" xfId="6164"/>
    <cellStyle name="Percent 2 2 3 2 2 4" xfId="2602"/>
    <cellStyle name="Percent 2 2 3 2 2 5" xfId="3465"/>
    <cellStyle name="Percent 2 2 3 2 2 6" xfId="4333"/>
    <cellStyle name="Percent 2 2 3 2 2 7" xfId="5304"/>
    <cellStyle name="Percent 2 2 3 2 2 8" xfId="5626"/>
    <cellStyle name="Percent 2 2 3 2 3" xfId="1925"/>
    <cellStyle name="Percent 2 2 3 2 3 2" xfId="2851"/>
    <cellStyle name="Percent 2 2 3 2 3 3" xfId="3715"/>
    <cellStyle name="Percent 2 2 3 2 3 4" xfId="4590"/>
    <cellStyle name="Percent 2 2 3 2 3 5" xfId="5306"/>
    <cellStyle name="Percent 2 2 3 2 3 6" xfId="5895"/>
    <cellStyle name="Percent 2 2 3 2 4" xfId="2200"/>
    <cellStyle name="Percent 2 2 3 2 4 2" xfId="3106"/>
    <cellStyle name="Percent 2 2 3 2 4 3" xfId="3976"/>
    <cellStyle name="Percent 2 2 3 2 4 4" xfId="4854"/>
    <cellStyle name="Percent 2 2 3 2 4 5" xfId="6163"/>
    <cellStyle name="Percent 2 2 3 2 5" xfId="2375"/>
    <cellStyle name="Percent 2 2 3 2 5 2" xfId="3234"/>
    <cellStyle name="Percent 2 2 3 2 5 3" xfId="4100"/>
    <cellStyle name="Percent 2 2 3 2 5 4" xfId="4979"/>
    <cellStyle name="Percent 2 2 3 2 5 5" xfId="6289"/>
    <cellStyle name="Percent 2 2 3 2 6" xfId="2601"/>
    <cellStyle name="Percent 2 2 3 2 7" xfId="3464"/>
    <cellStyle name="Percent 2 2 3 2 8" xfId="4332"/>
    <cellStyle name="Percent 2 2 3 2 9" xfId="5303"/>
    <cellStyle name="Percent 2 2 3 3" xfId="1588"/>
    <cellStyle name="Percent 2 2 3 3 2" xfId="1927"/>
    <cellStyle name="Percent 2 2 3 3 2 2" xfId="2853"/>
    <cellStyle name="Percent 2 2 3 3 2 3" xfId="3717"/>
    <cellStyle name="Percent 2 2 3 3 2 4" xfId="4592"/>
    <cellStyle name="Percent 2 2 3 3 2 5" xfId="5308"/>
    <cellStyle name="Percent 2 2 3 3 2 6" xfId="5897"/>
    <cellStyle name="Percent 2 2 3 3 3" xfId="2202"/>
    <cellStyle name="Percent 2 2 3 3 3 2" xfId="3108"/>
    <cellStyle name="Percent 2 2 3 3 3 3" xfId="3978"/>
    <cellStyle name="Percent 2 2 3 3 3 4" xfId="4856"/>
    <cellStyle name="Percent 2 2 3 3 3 5" xfId="6165"/>
    <cellStyle name="Percent 2 2 3 3 4" xfId="2603"/>
    <cellStyle name="Percent 2 2 3 3 5" xfId="3466"/>
    <cellStyle name="Percent 2 2 3 3 6" xfId="4334"/>
    <cellStyle name="Percent 2 2 3 3 7" xfId="5307"/>
    <cellStyle name="Percent 2 2 3 3 8" xfId="5627"/>
    <cellStyle name="Percent 2 2 3 4" xfId="1924"/>
    <cellStyle name="Percent 2 2 3 4 2" xfId="2850"/>
    <cellStyle name="Percent 2 2 3 4 3" xfId="3714"/>
    <cellStyle name="Percent 2 2 3 4 4" xfId="4589"/>
    <cellStyle name="Percent 2 2 3 4 5" xfId="5309"/>
    <cellStyle name="Percent 2 2 3 4 6" xfId="5894"/>
    <cellStyle name="Percent 2 2 3 5" xfId="2199"/>
    <cellStyle name="Percent 2 2 3 5 2" xfId="3105"/>
    <cellStyle name="Percent 2 2 3 5 3" xfId="3975"/>
    <cellStyle name="Percent 2 2 3 5 4" xfId="4853"/>
    <cellStyle name="Percent 2 2 3 5 5" xfId="6162"/>
    <cellStyle name="Percent 2 2 3 6" xfId="2331"/>
    <cellStyle name="Percent 2 2 3 6 2" xfId="3190"/>
    <cellStyle name="Percent 2 2 3 6 3" xfId="4056"/>
    <cellStyle name="Percent 2 2 3 6 4" xfId="4935"/>
    <cellStyle name="Percent 2 2 3 6 5" xfId="6245"/>
    <cellStyle name="Percent 2 2 3 7" xfId="2600"/>
    <cellStyle name="Percent 2 2 3 8" xfId="3463"/>
    <cellStyle name="Percent 2 2 3 9" xfId="4331"/>
    <cellStyle name="Percent 2 2 4" xfId="1589"/>
    <cellStyle name="Percent 2 2 4 10" xfId="5628"/>
    <cellStyle name="Percent 2 2 4 2" xfId="1590"/>
    <cellStyle name="Percent 2 2 4 2 2" xfId="1929"/>
    <cellStyle name="Percent 2 2 4 2 2 2" xfId="2855"/>
    <cellStyle name="Percent 2 2 4 2 2 3" xfId="3719"/>
    <cellStyle name="Percent 2 2 4 2 2 4" xfId="4594"/>
    <cellStyle name="Percent 2 2 4 2 2 5" xfId="5312"/>
    <cellStyle name="Percent 2 2 4 2 2 6" xfId="5899"/>
    <cellStyle name="Percent 2 2 4 2 3" xfId="2204"/>
    <cellStyle name="Percent 2 2 4 2 3 2" xfId="3110"/>
    <cellStyle name="Percent 2 2 4 2 3 3" xfId="3980"/>
    <cellStyle name="Percent 2 2 4 2 3 4" xfId="4858"/>
    <cellStyle name="Percent 2 2 4 2 3 5" xfId="6167"/>
    <cellStyle name="Percent 2 2 4 2 4" xfId="2605"/>
    <cellStyle name="Percent 2 2 4 2 5" xfId="3468"/>
    <cellStyle name="Percent 2 2 4 2 6" xfId="4336"/>
    <cellStyle name="Percent 2 2 4 2 7" xfId="5311"/>
    <cellStyle name="Percent 2 2 4 2 8" xfId="5629"/>
    <cellStyle name="Percent 2 2 4 3" xfId="1928"/>
    <cellStyle name="Percent 2 2 4 3 2" xfId="2854"/>
    <cellStyle name="Percent 2 2 4 3 3" xfId="3718"/>
    <cellStyle name="Percent 2 2 4 3 4" xfId="4593"/>
    <cellStyle name="Percent 2 2 4 3 5" xfId="5313"/>
    <cellStyle name="Percent 2 2 4 3 6" xfId="5898"/>
    <cellStyle name="Percent 2 2 4 4" xfId="2203"/>
    <cellStyle name="Percent 2 2 4 4 2" xfId="3109"/>
    <cellStyle name="Percent 2 2 4 4 3" xfId="3979"/>
    <cellStyle name="Percent 2 2 4 4 4" xfId="4857"/>
    <cellStyle name="Percent 2 2 4 4 5" xfId="6166"/>
    <cellStyle name="Percent 2 2 4 5" xfId="2353"/>
    <cellStyle name="Percent 2 2 4 5 2" xfId="3212"/>
    <cellStyle name="Percent 2 2 4 5 3" xfId="4078"/>
    <cellStyle name="Percent 2 2 4 5 4" xfId="4957"/>
    <cellStyle name="Percent 2 2 4 5 5" xfId="6267"/>
    <cellStyle name="Percent 2 2 4 6" xfId="2604"/>
    <cellStyle name="Percent 2 2 4 7" xfId="3467"/>
    <cellStyle name="Percent 2 2 4 8" xfId="4335"/>
    <cellStyle name="Percent 2 2 4 9" xfId="5310"/>
    <cellStyle name="Percent 2 2 5" xfId="1591"/>
    <cellStyle name="Percent 2 2 5 2" xfId="1930"/>
    <cellStyle name="Percent 2 2 5 2 2" xfId="2856"/>
    <cellStyle name="Percent 2 2 5 2 3" xfId="3720"/>
    <cellStyle name="Percent 2 2 5 2 4" xfId="4595"/>
    <cellStyle name="Percent 2 2 5 2 5" xfId="5315"/>
    <cellStyle name="Percent 2 2 5 2 6" xfId="5900"/>
    <cellStyle name="Percent 2 2 5 3" xfId="2205"/>
    <cellStyle name="Percent 2 2 5 3 2" xfId="3111"/>
    <cellStyle name="Percent 2 2 5 3 3" xfId="3981"/>
    <cellStyle name="Percent 2 2 5 3 4" xfId="4859"/>
    <cellStyle name="Percent 2 2 5 3 5" xfId="6168"/>
    <cellStyle name="Percent 2 2 5 4" xfId="2606"/>
    <cellStyle name="Percent 2 2 5 5" xfId="3469"/>
    <cellStyle name="Percent 2 2 5 6" xfId="4337"/>
    <cellStyle name="Percent 2 2 5 7" xfId="5314"/>
    <cellStyle name="Percent 2 2 5 8" xfId="5630"/>
    <cellStyle name="Percent 2 2 6" xfId="1980"/>
    <cellStyle name="Percent 2 2 6 2" xfId="5316"/>
    <cellStyle name="Percent 2 2 6 3" xfId="6313"/>
    <cellStyle name="Percent 2 2 7" xfId="1738"/>
    <cellStyle name="Percent 2 2 7 2" xfId="2679"/>
    <cellStyle name="Percent 2 2 7 3" xfId="3543"/>
    <cellStyle name="Percent 2 2 7 4" xfId="4415"/>
    <cellStyle name="Percent 2 2 7 5" xfId="5719"/>
    <cellStyle name="Percent 2 2 8" xfId="2028"/>
    <cellStyle name="Percent 2 2 8 2" xfId="2934"/>
    <cellStyle name="Percent 2 2 8 3" xfId="3801"/>
    <cellStyle name="Percent 2 2 8 4" xfId="4679"/>
    <cellStyle name="Percent 2 2 8 5" xfId="5988"/>
    <cellStyle name="Percent 2 2 9" xfId="2263"/>
    <cellStyle name="Percent 2 2 9 2" xfId="3166"/>
    <cellStyle name="Percent 2 2 9 3" xfId="4034"/>
    <cellStyle name="Percent 2 2 9 4" xfId="4913"/>
    <cellStyle name="Percent 2 2 9 5" xfId="6222"/>
    <cellStyle name="Percent 2 3" xfId="1592"/>
    <cellStyle name="Percent 2 3 10" xfId="3470"/>
    <cellStyle name="Percent 2 3 11" xfId="4338"/>
    <cellStyle name="Percent 2 3 12" xfId="5317"/>
    <cellStyle name="Percent 2 3 13" xfId="5631"/>
    <cellStyle name="Percent 2 3 2" xfId="1593"/>
    <cellStyle name="Percent 2 3 2 10" xfId="4339"/>
    <cellStyle name="Percent 2 3 2 11" xfId="5318"/>
    <cellStyle name="Percent 2 3 2 12" xfId="5632"/>
    <cellStyle name="Percent 2 3 2 2" xfId="1594"/>
    <cellStyle name="Percent 2 3 2 2 10" xfId="5319"/>
    <cellStyle name="Percent 2 3 2 2 11" xfId="5633"/>
    <cellStyle name="Percent 2 3 2 2 2" xfId="1595"/>
    <cellStyle name="Percent 2 3 2 2 2 10" xfId="5634"/>
    <cellStyle name="Percent 2 3 2 2 2 2" xfId="1596"/>
    <cellStyle name="Percent 2 3 2 2 2 2 2" xfId="1935"/>
    <cellStyle name="Percent 2 3 2 2 2 2 2 2" xfId="2861"/>
    <cellStyle name="Percent 2 3 2 2 2 2 2 3" xfId="3725"/>
    <cellStyle name="Percent 2 3 2 2 2 2 2 4" xfId="4600"/>
    <cellStyle name="Percent 2 3 2 2 2 2 2 5" xfId="5322"/>
    <cellStyle name="Percent 2 3 2 2 2 2 2 6" xfId="5905"/>
    <cellStyle name="Percent 2 3 2 2 2 2 3" xfId="2210"/>
    <cellStyle name="Percent 2 3 2 2 2 2 3 2" xfId="3116"/>
    <cellStyle name="Percent 2 3 2 2 2 2 3 3" xfId="3986"/>
    <cellStyle name="Percent 2 3 2 2 2 2 3 4" xfId="4864"/>
    <cellStyle name="Percent 2 3 2 2 2 2 3 5" xfId="6173"/>
    <cellStyle name="Percent 2 3 2 2 2 2 4" xfId="2611"/>
    <cellStyle name="Percent 2 3 2 2 2 2 5" xfId="3474"/>
    <cellStyle name="Percent 2 3 2 2 2 2 6" xfId="4342"/>
    <cellStyle name="Percent 2 3 2 2 2 2 7" xfId="5321"/>
    <cellStyle name="Percent 2 3 2 2 2 2 8" xfId="5635"/>
    <cellStyle name="Percent 2 3 2 2 2 3" xfId="1934"/>
    <cellStyle name="Percent 2 3 2 2 2 3 2" xfId="2860"/>
    <cellStyle name="Percent 2 3 2 2 2 3 3" xfId="3724"/>
    <cellStyle name="Percent 2 3 2 2 2 3 4" xfId="4599"/>
    <cellStyle name="Percent 2 3 2 2 2 3 5" xfId="5323"/>
    <cellStyle name="Percent 2 3 2 2 2 3 6" xfId="5904"/>
    <cellStyle name="Percent 2 3 2 2 2 4" xfId="2209"/>
    <cellStyle name="Percent 2 3 2 2 2 4 2" xfId="3115"/>
    <cellStyle name="Percent 2 3 2 2 2 4 3" xfId="3985"/>
    <cellStyle name="Percent 2 3 2 2 2 4 4" xfId="4863"/>
    <cellStyle name="Percent 2 3 2 2 2 4 5" xfId="6172"/>
    <cellStyle name="Percent 2 3 2 2 2 5" xfId="2391"/>
    <cellStyle name="Percent 2 3 2 2 2 5 2" xfId="3250"/>
    <cellStyle name="Percent 2 3 2 2 2 5 3" xfId="4116"/>
    <cellStyle name="Percent 2 3 2 2 2 5 4" xfId="4995"/>
    <cellStyle name="Percent 2 3 2 2 2 5 5" xfId="6305"/>
    <cellStyle name="Percent 2 3 2 2 2 6" xfId="2610"/>
    <cellStyle name="Percent 2 3 2 2 2 7" xfId="3473"/>
    <cellStyle name="Percent 2 3 2 2 2 8" xfId="4341"/>
    <cellStyle name="Percent 2 3 2 2 2 9" xfId="5320"/>
    <cellStyle name="Percent 2 3 2 2 3" xfId="1597"/>
    <cellStyle name="Percent 2 3 2 2 3 2" xfId="1936"/>
    <cellStyle name="Percent 2 3 2 2 3 2 2" xfId="2862"/>
    <cellStyle name="Percent 2 3 2 2 3 2 3" xfId="3726"/>
    <cellStyle name="Percent 2 3 2 2 3 2 4" xfId="4601"/>
    <cellStyle name="Percent 2 3 2 2 3 2 5" xfId="5325"/>
    <cellStyle name="Percent 2 3 2 2 3 2 6" xfId="5906"/>
    <cellStyle name="Percent 2 3 2 2 3 3" xfId="2211"/>
    <cellStyle name="Percent 2 3 2 2 3 3 2" xfId="3117"/>
    <cellStyle name="Percent 2 3 2 2 3 3 3" xfId="3987"/>
    <cellStyle name="Percent 2 3 2 2 3 3 4" xfId="4865"/>
    <cellStyle name="Percent 2 3 2 2 3 3 5" xfId="6174"/>
    <cellStyle name="Percent 2 3 2 2 3 4" xfId="2612"/>
    <cellStyle name="Percent 2 3 2 2 3 5" xfId="3475"/>
    <cellStyle name="Percent 2 3 2 2 3 6" xfId="4343"/>
    <cellStyle name="Percent 2 3 2 2 3 7" xfId="5324"/>
    <cellStyle name="Percent 2 3 2 2 3 8" xfId="5636"/>
    <cellStyle name="Percent 2 3 2 2 4" xfId="1933"/>
    <cellStyle name="Percent 2 3 2 2 4 2" xfId="2859"/>
    <cellStyle name="Percent 2 3 2 2 4 3" xfId="3723"/>
    <cellStyle name="Percent 2 3 2 2 4 4" xfId="4598"/>
    <cellStyle name="Percent 2 3 2 2 4 5" xfId="5326"/>
    <cellStyle name="Percent 2 3 2 2 4 6" xfId="5903"/>
    <cellStyle name="Percent 2 3 2 2 5" xfId="2208"/>
    <cellStyle name="Percent 2 3 2 2 5 2" xfId="3114"/>
    <cellStyle name="Percent 2 3 2 2 5 3" xfId="3984"/>
    <cellStyle name="Percent 2 3 2 2 5 4" xfId="4862"/>
    <cellStyle name="Percent 2 3 2 2 5 5" xfId="6171"/>
    <cellStyle name="Percent 2 3 2 2 6" xfId="2347"/>
    <cellStyle name="Percent 2 3 2 2 6 2" xfId="3206"/>
    <cellStyle name="Percent 2 3 2 2 6 3" xfId="4072"/>
    <cellStyle name="Percent 2 3 2 2 6 4" xfId="4951"/>
    <cellStyle name="Percent 2 3 2 2 6 5" xfId="6261"/>
    <cellStyle name="Percent 2 3 2 2 7" xfId="2609"/>
    <cellStyle name="Percent 2 3 2 2 8" xfId="3472"/>
    <cellStyle name="Percent 2 3 2 2 9" xfId="4340"/>
    <cellStyle name="Percent 2 3 2 3" xfId="1598"/>
    <cellStyle name="Percent 2 3 2 3 10" xfId="5637"/>
    <cellStyle name="Percent 2 3 2 3 2" xfId="1599"/>
    <cellStyle name="Percent 2 3 2 3 2 2" xfId="1938"/>
    <cellStyle name="Percent 2 3 2 3 2 2 2" xfId="2864"/>
    <cellStyle name="Percent 2 3 2 3 2 2 3" xfId="3728"/>
    <cellStyle name="Percent 2 3 2 3 2 2 4" xfId="4603"/>
    <cellStyle name="Percent 2 3 2 3 2 2 5" xfId="5329"/>
    <cellStyle name="Percent 2 3 2 3 2 2 6" xfId="5908"/>
    <cellStyle name="Percent 2 3 2 3 2 3" xfId="2213"/>
    <cellStyle name="Percent 2 3 2 3 2 3 2" xfId="3119"/>
    <cellStyle name="Percent 2 3 2 3 2 3 3" xfId="3989"/>
    <cellStyle name="Percent 2 3 2 3 2 3 4" xfId="4867"/>
    <cellStyle name="Percent 2 3 2 3 2 3 5" xfId="6176"/>
    <cellStyle name="Percent 2 3 2 3 2 4" xfId="2614"/>
    <cellStyle name="Percent 2 3 2 3 2 5" xfId="3477"/>
    <cellStyle name="Percent 2 3 2 3 2 6" xfId="4345"/>
    <cellStyle name="Percent 2 3 2 3 2 7" xfId="5328"/>
    <cellStyle name="Percent 2 3 2 3 2 8" xfId="5638"/>
    <cellStyle name="Percent 2 3 2 3 3" xfId="1937"/>
    <cellStyle name="Percent 2 3 2 3 3 2" xfId="2863"/>
    <cellStyle name="Percent 2 3 2 3 3 3" xfId="3727"/>
    <cellStyle name="Percent 2 3 2 3 3 4" xfId="4602"/>
    <cellStyle name="Percent 2 3 2 3 3 5" xfId="5330"/>
    <cellStyle name="Percent 2 3 2 3 3 6" xfId="5907"/>
    <cellStyle name="Percent 2 3 2 3 4" xfId="2212"/>
    <cellStyle name="Percent 2 3 2 3 4 2" xfId="3118"/>
    <cellStyle name="Percent 2 3 2 3 4 3" xfId="3988"/>
    <cellStyle name="Percent 2 3 2 3 4 4" xfId="4866"/>
    <cellStyle name="Percent 2 3 2 3 4 5" xfId="6175"/>
    <cellStyle name="Percent 2 3 2 3 5" xfId="2369"/>
    <cellStyle name="Percent 2 3 2 3 5 2" xfId="3228"/>
    <cellStyle name="Percent 2 3 2 3 5 3" xfId="4094"/>
    <cellStyle name="Percent 2 3 2 3 5 4" xfId="4973"/>
    <cellStyle name="Percent 2 3 2 3 5 5" xfId="6283"/>
    <cellStyle name="Percent 2 3 2 3 6" xfId="2613"/>
    <cellStyle name="Percent 2 3 2 3 7" xfId="3476"/>
    <cellStyle name="Percent 2 3 2 3 8" xfId="4344"/>
    <cellStyle name="Percent 2 3 2 3 9" xfId="5327"/>
    <cellStyle name="Percent 2 3 2 4" xfId="1600"/>
    <cellStyle name="Percent 2 3 2 4 2" xfId="1939"/>
    <cellStyle name="Percent 2 3 2 4 2 2" xfId="2865"/>
    <cellStyle name="Percent 2 3 2 4 2 3" xfId="3729"/>
    <cellStyle name="Percent 2 3 2 4 2 4" xfId="4604"/>
    <cellStyle name="Percent 2 3 2 4 2 5" xfId="5332"/>
    <cellStyle name="Percent 2 3 2 4 2 6" xfId="5909"/>
    <cellStyle name="Percent 2 3 2 4 3" xfId="2214"/>
    <cellStyle name="Percent 2 3 2 4 3 2" xfId="3120"/>
    <cellStyle name="Percent 2 3 2 4 3 3" xfId="3990"/>
    <cellStyle name="Percent 2 3 2 4 3 4" xfId="4868"/>
    <cellStyle name="Percent 2 3 2 4 3 5" xfId="6177"/>
    <cellStyle name="Percent 2 3 2 4 4" xfId="2615"/>
    <cellStyle name="Percent 2 3 2 4 5" xfId="3478"/>
    <cellStyle name="Percent 2 3 2 4 6" xfId="4346"/>
    <cellStyle name="Percent 2 3 2 4 7" xfId="5331"/>
    <cellStyle name="Percent 2 3 2 4 8" xfId="5639"/>
    <cellStyle name="Percent 2 3 2 5" xfId="1932"/>
    <cellStyle name="Percent 2 3 2 5 2" xfId="2858"/>
    <cellStyle name="Percent 2 3 2 5 3" xfId="3722"/>
    <cellStyle name="Percent 2 3 2 5 4" xfId="4597"/>
    <cellStyle name="Percent 2 3 2 5 5" xfId="5333"/>
    <cellStyle name="Percent 2 3 2 5 6" xfId="5902"/>
    <cellStyle name="Percent 2 3 2 6" xfId="2207"/>
    <cellStyle name="Percent 2 3 2 6 2" xfId="3113"/>
    <cellStyle name="Percent 2 3 2 6 3" xfId="3983"/>
    <cellStyle name="Percent 2 3 2 6 4" xfId="4861"/>
    <cellStyle name="Percent 2 3 2 6 5" xfId="6170"/>
    <cellStyle name="Percent 2 3 2 7" xfId="2325"/>
    <cellStyle name="Percent 2 3 2 7 2" xfId="3184"/>
    <cellStyle name="Percent 2 3 2 7 3" xfId="4050"/>
    <cellStyle name="Percent 2 3 2 7 4" xfId="4929"/>
    <cellStyle name="Percent 2 3 2 7 5" xfId="6239"/>
    <cellStyle name="Percent 2 3 2 8" xfId="2608"/>
    <cellStyle name="Percent 2 3 2 9" xfId="3471"/>
    <cellStyle name="Percent 2 3 3" xfId="1601"/>
    <cellStyle name="Percent 2 3 3 10" xfId="5334"/>
    <cellStyle name="Percent 2 3 3 11" xfId="5640"/>
    <cellStyle name="Percent 2 3 3 2" xfId="1602"/>
    <cellStyle name="Percent 2 3 3 2 10" xfId="5641"/>
    <cellStyle name="Percent 2 3 3 2 2" xfId="1603"/>
    <cellStyle name="Percent 2 3 3 2 2 2" xfId="1942"/>
    <cellStyle name="Percent 2 3 3 2 2 2 2" xfId="2868"/>
    <cellStyle name="Percent 2 3 3 2 2 2 3" xfId="3732"/>
    <cellStyle name="Percent 2 3 3 2 2 2 4" xfId="4607"/>
    <cellStyle name="Percent 2 3 3 2 2 2 5" xfId="5337"/>
    <cellStyle name="Percent 2 3 3 2 2 2 6" xfId="5912"/>
    <cellStyle name="Percent 2 3 3 2 2 3" xfId="2217"/>
    <cellStyle name="Percent 2 3 3 2 2 3 2" xfId="3123"/>
    <cellStyle name="Percent 2 3 3 2 2 3 3" xfId="3993"/>
    <cellStyle name="Percent 2 3 3 2 2 3 4" xfId="4871"/>
    <cellStyle name="Percent 2 3 3 2 2 3 5" xfId="6180"/>
    <cellStyle name="Percent 2 3 3 2 2 4" xfId="2618"/>
    <cellStyle name="Percent 2 3 3 2 2 5" xfId="3481"/>
    <cellStyle name="Percent 2 3 3 2 2 6" xfId="4349"/>
    <cellStyle name="Percent 2 3 3 2 2 7" xfId="5336"/>
    <cellStyle name="Percent 2 3 3 2 2 8" xfId="5642"/>
    <cellStyle name="Percent 2 3 3 2 3" xfId="1941"/>
    <cellStyle name="Percent 2 3 3 2 3 2" xfId="2867"/>
    <cellStyle name="Percent 2 3 3 2 3 3" xfId="3731"/>
    <cellStyle name="Percent 2 3 3 2 3 4" xfId="4606"/>
    <cellStyle name="Percent 2 3 3 2 3 5" xfId="5338"/>
    <cellStyle name="Percent 2 3 3 2 3 6" xfId="5911"/>
    <cellStyle name="Percent 2 3 3 2 4" xfId="2216"/>
    <cellStyle name="Percent 2 3 3 2 4 2" xfId="3122"/>
    <cellStyle name="Percent 2 3 3 2 4 3" xfId="3992"/>
    <cellStyle name="Percent 2 3 3 2 4 4" xfId="4870"/>
    <cellStyle name="Percent 2 3 3 2 4 5" xfId="6179"/>
    <cellStyle name="Percent 2 3 3 2 5" xfId="2378"/>
    <cellStyle name="Percent 2 3 3 2 5 2" xfId="3237"/>
    <cellStyle name="Percent 2 3 3 2 5 3" xfId="4103"/>
    <cellStyle name="Percent 2 3 3 2 5 4" xfId="4982"/>
    <cellStyle name="Percent 2 3 3 2 5 5" xfId="6292"/>
    <cellStyle name="Percent 2 3 3 2 6" xfId="2617"/>
    <cellStyle name="Percent 2 3 3 2 7" xfId="3480"/>
    <cellStyle name="Percent 2 3 3 2 8" xfId="4348"/>
    <cellStyle name="Percent 2 3 3 2 9" xfId="5335"/>
    <cellStyle name="Percent 2 3 3 3" xfId="1604"/>
    <cellStyle name="Percent 2 3 3 3 2" xfId="1943"/>
    <cellStyle name="Percent 2 3 3 3 2 2" xfId="2869"/>
    <cellStyle name="Percent 2 3 3 3 2 3" xfId="3733"/>
    <cellStyle name="Percent 2 3 3 3 2 4" xfId="4608"/>
    <cellStyle name="Percent 2 3 3 3 2 5" xfId="5340"/>
    <cellStyle name="Percent 2 3 3 3 2 6" xfId="5913"/>
    <cellStyle name="Percent 2 3 3 3 3" xfId="2218"/>
    <cellStyle name="Percent 2 3 3 3 3 2" xfId="3124"/>
    <cellStyle name="Percent 2 3 3 3 3 3" xfId="3994"/>
    <cellStyle name="Percent 2 3 3 3 3 4" xfId="4872"/>
    <cellStyle name="Percent 2 3 3 3 3 5" xfId="6181"/>
    <cellStyle name="Percent 2 3 3 3 4" xfId="2619"/>
    <cellStyle name="Percent 2 3 3 3 5" xfId="3482"/>
    <cellStyle name="Percent 2 3 3 3 6" xfId="4350"/>
    <cellStyle name="Percent 2 3 3 3 7" xfId="5339"/>
    <cellStyle name="Percent 2 3 3 3 8" xfId="5643"/>
    <cellStyle name="Percent 2 3 3 4" xfId="1940"/>
    <cellStyle name="Percent 2 3 3 4 2" xfId="2866"/>
    <cellStyle name="Percent 2 3 3 4 3" xfId="3730"/>
    <cellStyle name="Percent 2 3 3 4 4" xfId="4605"/>
    <cellStyle name="Percent 2 3 3 4 5" xfId="5341"/>
    <cellStyle name="Percent 2 3 3 4 6" xfId="5910"/>
    <cellStyle name="Percent 2 3 3 5" xfId="2215"/>
    <cellStyle name="Percent 2 3 3 5 2" xfId="3121"/>
    <cellStyle name="Percent 2 3 3 5 3" xfId="3991"/>
    <cellStyle name="Percent 2 3 3 5 4" xfId="4869"/>
    <cellStyle name="Percent 2 3 3 5 5" xfId="6178"/>
    <cellStyle name="Percent 2 3 3 6" xfId="2334"/>
    <cellStyle name="Percent 2 3 3 6 2" xfId="3193"/>
    <cellStyle name="Percent 2 3 3 6 3" xfId="4059"/>
    <cellStyle name="Percent 2 3 3 6 4" xfId="4938"/>
    <cellStyle name="Percent 2 3 3 6 5" xfId="6248"/>
    <cellStyle name="Percent 2 3 3 7" xfId="2616"/>
    <cellStyle name="Percent 2 3 3 8" xfId="3479"/>
    <cellStyle name="Percent 2 3 3 9" xfId="4347"/>
    <cellStyle name="Percent 2 3 4" xfId="1605"/>
    <cellStyle name="Percent 2 3 4 10" xfId="5644"/>
    <cellStyle name="Percent 2 3 4 2" xfId="1606"/>
    <cellStyle name="Percent 2 3 4 2 2" xfId="1945"/>
    <cellStyle name="Percent 2 3 4 2 2 2" xfId="2871"/>
    <cellStyle name="Percent 2 3 4 2 2 3" xfId="3735"/>
    <cellStyle name="Percent 2 3 4 2 2 4" xfId="4610"/>
    <cellStyle name="Percent 2 3 4 2 2 5" xfId="5344"/>
    <cellStyle name="Percent 2 3 4 2 2 6" xfId="5915"/>
    <cellStyle name="Percent 2 3 4 2 3" xfId="2220"/>
    <cellStyle name="Percent 2 3 4 2 3 2" xfId="3126"/>
    <cellStyle name="Percent 2 3 4 2 3 3" xfId="3996"/>
    <cellStyle name="Percent 2 3 4 2 3 4" xfId="4874"/>
    <cellStyle name="Percent 2 3 4 2 3 5" xfId="6183"/>
    <cellStyle name="Percent 2 3 4 2 4" xfId="2621"/>
    <cellStyle name="Percent 2 3 4 2 5" xfId="3484"/>
    <cellStyle name="Percent 2 3 4 2 6" xfId="4352"/>
    <cellStyle name="Percent 2 3 4 2 7" xfId="5343"/>
    <cellStyle name="Percent 2 3 4 2 8" xfId="5645"/>
    <cellStyle name="Percent 2 3 4 3" xfId="1944"/>
    <cellStyle name="Percent 2 3 4 3 2" xfId="2870"/>
    <cellStyle name="Percent 2 3 4 3 3" xfId="3734"/>
    <cellStyle name="Percent 2 3 4 3 4" xfId="4609"/>
    <cellStyle name="Percent 2 3 4 3 5" xfId="5345"/>
    <cellStyle name="Percent 2 3 4 3 6" xfId="5914"/>
    <cellStyle name="Percent 2 3 4 4" xfId="2219"/>
    <cellStyle name="Percent 2 3 4 4 2" xfId="3125"/>
    <cellStyle name="Percent 2 3 4 4 3" xfId="3995"/>
    <cellStyle name="Percent 2 3 4 4 4" xfId="4873"/>
    <cellStyle name="Percent 2 3 4 4 5" xfId="6182"/>
    <cellStyle name="Percent 2 3 4 5" xfId="2356"/>
    <cellStyle name="Percent 2 3 4 5 2" xfId="3215"/>
    <cellStyle name="Percent 2 3 4 5 3" xfId="4081"/>
    <cellStyle name="Percent 2 3 4 5 4" xfId="4960"/>
    <cellStyle name="Percent 2 3 4 5 5" xfId="6270"/>
    <cellStyle name="Percent 2 3 4 6" xfId="2620"/>
    <cellStyle name="Percent 2 3 4 7" xfId="3483"/>
    <cellStyle name="Percent 2 3 4 8" xfId="4351"/>
    <cellStyle name="Percent 2 3 4 9" xfId="5342"/>
    <cellStyle name="Percent 2 3 5" xfId="1607"/>
    <cellStyle name="Percent 2 3 5 2" xfId="1946"/>
    <cellStyle name="Percent 2 3 5 2 2" xfId="2872"/>
    <cellStyle name="Percent 2 3 5 2 3" xfId="3736"/>
    <cellStyle name="Percent 2 3 5 2 4" xfId="4611"/>
    <cellStyle name="Percent 2 3 5 2 5" xfId="5347"/>
    <cellStyle name="Percent 2 3 5 2 6" xfId="5916"/>
    <cellStyle name="Percent 2 3 5 3" xfId="2221"/>
    <cellStyle name="Percent 2 3 5 3 2" xfId="3127"/>
    <cellStyle name="Percent 2 3 5 3 3" xfId="3997"/>
    <cellStyle name="Percent 2 3 5 3 4" xfId="4875"/>
    <cellStyle name="Percent 2 3 5 3 5" xfId="6184"/>
    <cellStyle name="Percent 2 3 5 4" xfId="2622"/>
    <cellStyle name="Percent 2 3 5 5" xfId="3485"/>
    <cellStyle name="Percent 2 3 5 6" xfId="4353"/>
    <cellStyle name="Percent 2 3 5 7" xfId="5346"/>
    <cellStyle name="Percent 2 3 5 8" xfId="5646"/>
    <cellStyle name="Percent 2 3 6" xfId="1931"/>
    <cellStyle name="Percent 2 3 6 2" xfId="2857"/>
    <cellStyle name="Percent 2 3 6 3" xfId="3721"/>
    <cellStyle name="Percent 2 3 6 4" xfId="4596"/>
    <cellStyle name="Percent 2 3 6 5" xfId="5348"/>
    <cellStyle name="Percent 2 3 6 6" xfId="5901"/>
    <cellStyle name="Percent 2 3 7" xfId="2206"/>
    <cellStyle name="Percent 2 3 7 2" xfId="3112"/>
    <cellStyle name="Percent 2 3 7 3" xfId="3982"/>
    <cellStyle name="Percent 2 3 7 4" xfId="4860"/>
    <cellStyle name="Percent 2 3 7 5" xfId="6169"/>
    <cellStyle name="Percent 2 3 8" xfId="2316"/>
    <cellStyle name="Percent 2 3 8 2" xfId="3175"/>
    <cellStyle name="Percent 2 3 8 3" xfId="4041"/>
    <cellStyle name="Percent 2 3 8 4" xfId="4920"/>
    <cellStyle name="Percent 2 3 8 5" xfId="6230"/>
    <cellStyle name="Percent 2 3 9" xfId="2607"/>
    <cellStyle name="Percent 2 4" xfId="1608"/>
    <cellStyle name="Percent 2 4 10" xfId="3486"/>
    <cellStyle name="Percent 2 4 11" xfId="4354"/>
    <cellStyle name="Percent 2 4 12" xfId="5349"/>
    <cellStyle name="Percent 2 4 13" xfId="5647"/>
    <cellStyle name="Percent 2 4 2" xfId="1609"/>
    <cellStyle name="Percent 2 4 2 10" xfId="4355"/>
    <cellStyle name="Percent 2 4 2 11" xfId="5350"/>
    <cellStyle name="Percent 2 4 2 12" xfId="5648"/>
    <cellStyle name="Percent 2 4 2 2" xfId="1610"/>
    <cellStyle name="Percent 2 4 2 2 10" xfId="5351"/>
    <cellStyle name="Percent 2 4 2 2 11" xfId="5649"/>
    <cellStyle name="Percent 2 4 2 2 2" xfId="1611"/>
    <cellStyle name="Percent 2 4 2 2 2 10" xfId="5650"/>
    <cellStyle name="Percent 2 4 2 2 2 2" xfId="1612"/>
    <cellStyle name="Percent 2 4 2 2 2 2 2" xfId="1951"/>
    <cellStyle name="Percent 2 4 2 2 2 2 2 2" xfId="2877"/>
    <cellStyle name="Percent 2 4 2 2 2 2 2 3" xfId="3741"/>
    <cellStyle name="Percent 2 4 2 2 2 2 2 4" xfId="4616"/>
    <cellStyle name="Percent 2 4 2 2 2 2 2 5" xfId="5354"/>
    <cellStyle name="Percent 2 4 2 2 2 2 2 6" xfId="5921"/>
    <cellStyle name="Percent 2 4 2 2 2 2 3" xfId="2226"/>
    <cellStyle name="Percent 2 4 2 2 2 2 3 2" xfId="3132"/>
    <cellStyle name="Percent 2 4 2 2 2 2 3 3" xfId="4002"/>
    <cellStyle name="Percent 2 4 2 2 2 2 3 4" xfId="4880"/>
    <cellStyle name="Percent 2 4 2 2 2 2 3 5" xfId="6189"/>
    <cellStyle name="Percent 2 4 2 2 2 2 4" xfId="2627"/>
    <cellStyle name="Percent 2 4 2 2 2 2 5" xfId="3490"/>
    <cellStyle name="Percent 2 4 2 2 2 2 6" xfId="4358"/>
    <cellStyle name="Percent 2 4 2 2 2 2 7" xfId="5353"/>
    <cellStyle name="Percent 2 4 2 2 2 2 8" xfId="5651"/>
    <cellStyle name="Percent 2 4 2 2 2 3" xfId="1950"/>
    <cellStyle name="Percent 2 4 2 2 2 3 2" xfId="2876"/>
    <cellStyle name="Percent 2 4 2 2 2 3 3" xfId="3740"/>
    <cellStyle name="Percent 2 4 2 2 2 3 4" xfId="4615"/>
    <cellStyle name="Percent 2 4 2 2 2 3 5" xfId="5355"/>
    <cellStyle name="Percent 2 4 2 2 2 3 6" xfId="5920"/>
    <cellStyle name="Percent 2 4 2 2 2 4" xfId="2225"/>
    <cellStyle name="Percent 2 4 2 2 2 4 2" xfId="3131"/>
    <cellStyle name="Percent 2 4 2 2 2 4 3" xfId="4001"/>
    <cellStyle name="Percent 2 4 2 2 2 4 4" xfId="4879"/>
    <cellStyle name="Percent 2 4 2 2 2 4 5" xfId="6188"/>
    <cellStyle name="Percent 2 4 2 2 2 5" xfId="2396"/>
    <cellStyle name="Percent 2 4 2 2 2 5 2" xfId="3255"/>
    <cellStyle name="Percent 2 4 2 2 2 5 3" xfId="4121"/>
    <cellStyle name="Percent 2 4 2 2 2 5 4" xfId="5000"/>
    <cellStyle name="Percent 2 4 2 2 2 5 5" xfId="6310"/>
    <cellStyle name="Percent 2 4 2 2 2 6" xfId="2626"/>
    <cellStyle name="Percent 2 4 2 2 2 7" xfId="3489"/>
    <cellStyle name="Percent 2 4 2 2 2 8" xfId="4357"/>
    <cellStyle name="Percent 2 4 2 2 2 9" xfId="5352"/>
    <cellStyle name="Percent 2 4 2 2 3" xfId="1613"/>
    <cellStyle name="Percent 2 4 2 2 3 2" xfId="1952"/>
    <cellStyle name="Percent 2 4 2 2 3 2 2" xfId="2878"/>
    <cellStyle name="Percent 2 4 2 2 3 2 3" xfId="3742"/>
    <cellStyle name="Percent 2 4 2 2 3 2 4" xfId="4617"/>
    <cellStyle name="Percent 2 4 2 2 3 2 5" xfId="5357"/>
    <cellStyle name="Percent 2 4 2 2 3 2 6" xfId="5922"/>
    <cellStyle name="Percent 2 4 2 2 3 3" xfId="2227"/>
    <cellStyle name="Percent 2 4 2 2 3 3 2" xfId="3133"/>
    <cellStyle name="Percent 2 4 2 2 3 3 3" xfId="4003"/>
    <cellStyle name="Percent 2 4 2 2 3 3 4" xfId="4881"/>
    <cellStyle name="Percent 2 4 2 2 3 3 5" xfId="6190"/>
    <cellStyle name="Percent 2 4 2 2 3 4" xfId="2628"/>
    <cellStyle name="Percent 2 4 2 2 3 5" xfId="3491"/>
    <cellStyle name="Percent 2 4 2 2 3 6" xfId="4359"/>
    <cellStyle name="Percent 2 4 2 2 3 7" xfId="5356"/>
    <cellStyle name="Percent 2 4 2 2 3 8" xfId="5652"/>
    <cellStyle name="Percent 2 4 2 2 4" xfId="1949"/>
    <cellStyle name="Percent 2 4 2 2 4 2" xfId="2875"/>
    <cellStyle name="Percent 2 4 2 2 4 3" xfId="3739"/>
    <cellStyle name="Percent 2 4 2 2 4 4" xfId="4614"/>
    <cellStyle name="Percent 2 4 2 2 4 5" xfId="5358"/>
    <cellStyle name="Percent 2 4 2 2 4 6" xfId="5919"/>
    <cellStyle name="Percent 2 4 2 2 5" xfId="2224"/>
    <cellStyle name="Percent 2 4 2 2 5 2" xfId="3130"/>
    <cellStyle name="Percent 2 4 2 2 5 3" xfId="4000"/>
    <cellStyle name="Percent 2 4 2 2 5 4" xfId="4878"/>
    <cellStyle name="Percent 2 4 2 2 5 5" xfId="6187"/>
    <cellStyle name="Percent 2 4 2 2 6" xfId="2352"/>
    <cellStyle name="Percent 2 4 2 2 6 2" xfId="3211"/>
    <cellStyle name="Percent 2 4 2 2 6 3" xfId="4077"/>
    <cellStyle name="Percent 2 4 2 2 6 4" xfId="4956"/>
    <cellStyle name="Percent 2 4 2 2 6 5" xfId="6266"/>
    <cellStyle name="Percent 2 4 2 2 7" xfId="2625"/>
    <cellStyle name="Percent 2 4 2 2 8" xfId="3488"/>
    <cellStyle name="Percent 2 4 2 2 9" xfId="4356"/>
    <cellStyle name="Percent 2 4 2 3" xfId="1614"/>
    <cellStyle name="Percent 2 4 2 3 10" xfId="5653"/>
    <cellStyle name="Percent 2 4 2 3 2" xfId="1615"/>
    <cellStyle name="Percent 2 4 2 3 2 2" xfId="1954"/>
    <cellStyle name="Percent 2 4 2 3 2 2 2" xfId="2880"/>
    <cellStyle name="Percent 2 4 2 3 2 2 3" xfId="3744"/>
    <cellStyle name="Percent 2 4 2 3 2 2 4" xfId="4619"/>
    <cellStyle name="Percent 2 4 2 3 2 2 5" xfId="5361"/>
    <cellStyle name="Percent 2 4 2 3 2 2 6" xfId="5924"/>
    <cellStyle name="Percent 2 4 2 3 2 3" xfId="2229"/>
    <cellStyle name="Percent 2 4 2 3 2 3 2" xfId="3135"/>
    <cellStyle name="Percent 2 4 2 3 2 3 3" xfId="4005"/>
    <cellStyle name="Percent 2 4 2 3 2 3 4" xfId="4883"/>
    <cellStyle name="Percent 2 4 2 3 2 3 5" xfId="6192"/>
    <cellStyle name="Percent 2 4 2 3 2 4" xfId="2630"/>
    <cellStyle name="Percent 2 4 2 3 2 5" xfId="3493"/>
    <cellStyle name="Percent 2 4 2 3 2 6" xfId="4361"/>
    <cellStyle name="Percent 2 4 2 3 2 7" xfId="5360"/>
    <cellStyle name="Percent 2 4 2 3 2 8" xfId="5654"/>
    <cellStyle name="Percent 2 4 2 3 3" xfId="1953"/>
    <cellStyle name="Percent 2 4 2 3 3 2" xfId="2879"/>
    <cellStyle name="Percent 2 4 2 3 3 3" xfId="3743"/>
    <cellStyle name="Percent 2 4 2 3 3 4" xfId="4618"/>
    <cellStyle name="Percent 2 4 2 3 3 5" xfId="5362"/>
    <cellStyle name="Percent 2 4 2 3 3 6" xfId="5923"/>
    <cellStyle name="Percent 2 4 2 3 4" xfId="2228"/>
    <cellStyle name="Percent 2 4 2 3 4 2" xfId="3134"/>
    <cellStyle name="Percent 2 4 2 3 4 3" xfId="4004"/>
    <cellStyle name="Percent 2 4 2 3 4 4" xfId="4882"/>
    <cellStyle name="Percent 2 4 2 3 4 5" xfId="6191"/>
    <cellStyle name="Percent 2 4 2 3 5" xfId="2374"/>
    <cellStyle name="Percent 2 4 2 3 5 2" xfId="3233"/>
    <cellStyle name="Percent 2 4 2 3 5 3" xfId="4099"/>
    <cellStyle name="Percent 2 4 2 3 5 4" xfId="4978"/>
    <cellStyle name="Percent 2 4 2 3 5 5" xfId="6288"/>
    <cellStyle name="Percent 2 4 2 3 6" xfId="2629"/>
    <cellStyle name="Percent 2 4 2 3 7" xfId="3492"/>
    <cellStyle name="Percent 2 4 2 3 8" xfId="4360"/>
    <cellStyle name="Percent 2 4 2 3 9" xfId="5359"/>
    <cellStyle name="Percent 2 4 2 4" xfId="1616"/>
    <cellStyle name="Percent 2 4 2 4 2" xfId="1955"/>
    <cellStyle name="Percent 2 4 2 4 2 2" xfId="2881"/>
    <cellStyle name="Percent 2 4 2 4 2 3" xfId="3745"/>
    <cellStyle name="Percent 2 4 2 4 2 4" xfId="4620"/>
    <cellStyle name="Percent 2 4 2 4 2 5" xfId="5364"/>
    <cellStyle name="Percent 2 4 2 4 2 6" xfId="5925"/>
    <cellStyle name="Percent 2 4 2 4 3" xfId="2230"/>
    <cellStyle name="Percent 2 4 2 4 3 2" xfId="3136"/>
    <cellStyle name="Percent 2 4 2 4 3 3" xfId="4006"/>
    <cellStyle name="Percent 2 4 2 4 3 4" xfId="4884"/>
    <cellStyle name="Percent 2 4 2 4 3 5" xfId="6193"/>
    <cellStyle name="Percent 2 4 2 4 4" xfId="2631"/>
    <cellStyle name="Percent 2 4 2 4 5" xfId="3494"/>
    <cellStyle name="Percent 2 4 2 4 6" xfId="4362"/>
    <cellStyle name="Percent 2 4 2 4 7" xfId="5363"/>
    <cellStyle name="Percent 2 4 2 4 8" xfId="5655"/>
    <cellStyle name="Percent 2 4 2 5" xfId="1948"/>
    <cellStyle name="Percent 2 4 2 5 2" xfId="2874"/>
    <cellStyle name="Percent 2 4 2 5 3" xfId="3738"/>
    <cellStyle name="Percent 2 4 2 5 4" xfId="4613"/>
    <cellStyle name="Percent 2 4 2 5 5" xfId="5365"/>
    <cellStyle name="Percent 2 4 2 5 6" xfId="5918"/>
    <cellStyle name="Percent 2 4 2 6" xfId="2223"/>
    <cellStyle name="Percent 2 4 2 6 2" xfId="3129"/>
    <cellStyle name="Percent 2 4 2 6 3" xfId="3999"/>
    <cellStyle name="Percent 2 4 2 6 4" xfId="4877"/>
    <cellStyle name="Percent 2 4 2 6 5" xfId="6186"/>
    <cellStyle name="Percent 2 4 2 7" xfId="2330"/>
    <cellStyle name="Percent 2 4 2 7 2" xfId="3189"/>
    <cellStyle name="Percent 2 4 2 7 3" xfId="4055"/>
    <cellStyle name="Percent 2 4 2 7 4" xfId="4934"/>
    <cellStyle name="Percent 2 4 2 7 5" xfId="6244"/>
    <cellStyle name="Percent 2 4 2 8" xfId="2624"/>
    <cellStyle name="Percent 2 4 2 9" xfId="3487"/>
    <cellStyle name="Percent 2 4 3" xfId="1617"/>
    <cellStyle name="Percent 2 4 3 10" xfId="5366"/>
    <cellStyle name="Percent 2 4 3 11" xfId="5656"/>
    <cellStyle name="Percent 2 4 3 2" xfId="1618"/>
    <cellStyle name="Percent 2 4 3 2 10" xfId="5657"/>
    <cellStyle name="Percent 2 4 3 2 2" xfId="1619"/>
    <cellStyle name="Percent 2 4 3 2 2 2" xfId="1958"/>
    <cellStyle name="Percent 2 4 3 2 2 2 2" xfId="2884"/>
    <cellStyle name="Percent 2 4 3 2 2 2 3" xfId="3748"/>
    <cellStyle name="Percent 2 4 3 2 2 2 4" xfId="4623"/>
    <cellStyle name="Percent 2 4 3 2 2 2 5" xfId="5369"/>
    <cellStyle name="Percent 2 4 3 2 2 2 6" xfId="5928"/>
    <cellStyle name="Percent 2 4 3 2 2 3" xfId="2233"/>
    <cellStyle name="Percent 2 4 3 2 2 3 2" xfId="3139"/>
    <cellStyle name="Percent 2 4 3 2 2 3 3" xfId="4009"/>
    <cellStyle name="Percent 2 4 3 2 2 3 4" xfId="4887"/>
    <cellStyle name="Percent 2 4 3 2 2 3 5" xfId="6196"/>
    <cellStyle name="Percent 2 4 3 2 2 4" xfId="2634"/>
    <cellStyle name="Percent 2 4 3 2 2 5" xfId="3497"/>
    <cellStyle name="Percent 2 4 3 2 2 6" xfId="4365"/>
    <cellStyle name="Percent 2 4 3 2 2 7" xfId="5368"/>
    <cellStyle name="Percent 2 4 3 2 2 8" xfId="5658"/>
    <cellStyle name="Percent 2 4 3 2 3" xfId="1957"/>
    <cellStyle name="Percent 2 4 3 2 3 2" xfId="2883"/>
    <cellStyle name="Percent 2 4 3 2 3 3" xfId="3747"/>
    <cellStyle name="Percent 2 4 3 2 3 4" xfId="4622"/>
    <cellStyle name="Percent 2 4 3 2 3 5" xfId="5370"/>
    <cellStyle name="Percent 2 4 3 2 3 6" xfId="5927"/>
    <cellStyle name="Percent 2 4 3 2 4" xfId="2232"/>
    <cellStyle name="Percent 2 4 3 2 4 2" xfId="3138"/>
    <cellStyle name="Percent 2 4 3 2 4 3" xfId="4008"/>
    <cellStyle name="Percent 2 4 3 2 4 4" xfId="4886"/>
    <cellStyle name="Percent 2 4 3 2 4 5" xfId="6195"/>
    <cellStyle name="Percent 2 4 3 2 5" xfId="2383"/>
    <cellStyle name="Percent 2 4 3 2 5 2" xfId="3242"/>
    <cellStyle name="Percent 2 4 3 2 5 3" xfId="4108"/>
    <cellStyle name="Percent 2 4 3 2 5 4" xfId="4987"/>
    <cellStyle name="Percent 2 4 3 2 5 5" xfId="6297"/>
    <cellStyle name="Percent 2 4 3 2 6" xfId="2633"/>
    <cellStyle name="Percent 2 4 3 2 7" xfId="3496"/>
    <cellStyle name="Percent 2 4 3 2 8" xfId="4364"/>
    <cellStyle name="Percent 2 4 3 2 9" xfId="5367"/>
    <cellStyle name="Percent 2 4 3 3" xfId="1620"/>
    <cellStyle name="Percent 2 4 3 3 2" xfId="1959"/>
    <cellStyle name="Percent 2 4 3 3 2 2" xfId="2885"/>
    <cellStyle name="Percent 2 4 3 3 2 3" xfId="3749"/>
    <cellStyle name="Percent 2 4 3 3 2 4" xfId="4624"/>
    <cellStyle name="Percent 2 4 3 3 2 5" xfId="5372"/>
    <cellStyle name="Percent 2 4 3 3 2 6" xfId="5929"/>
    <cellStyle name="Percent 2 4 3 3 3" xfId="2234"/>
    <cellStyle name="Percent 2 4 3 3 3 2" xfId="3140"/>
    <cellStyle name="Percent 2 4 3 3 3 3" xfId="4010"/>
    <cellStyle name="Percent 2 4 3 3 3 4" xfId="4888"/>
    <cellStyle name="Percent 2 4 3 3 3 5" xfId="6197"/>
    <cellStyle name="Percent 2 4 3 3 4" xfId="2635"/>
    <cellStyle name="Percent 2 4 3 3 5" xfId="3498"/>
    <cellStyle name="Percent 2 4 3 3 6" xfId="4366"/>
    <cellStyle name="Percent 2 4 3 3 7" xfId="5371"/>
    <cellStyle name="Percent 2 4 3 3 8" xfId="5659"/>
    <cellStyle name="Percent 2 4 3 4" xfId="1956"/>
    <cellStyle name="Percent 2 4 3 4 2" xfId="2882"/>
    <cellStyle name="Percent 2 4 3 4 3" xfId="3746"/>
    <cellStyle name="Percent 2 4 3 4 4" xfId="4621"/>
    <cellStyle name="Percent 2 4 3 4 5" xfId="5373"/>
    <cellStyle name="Percent 2 4 3 4 6" xfId="5926"/>
    <cellStyle name="Percent 2 4 3 5" xfId="2231"/>
    <cellStyle name="Percent 2 4 3 5 2" xfId="3137"/>
    <cellStyle name="Percent 2 4 3 5 3" xfId="4007"/>
    <cellStyle name="Percent 2 4 3 5 4" xfId="4885"/>
    <cellStyle name="Percent 2 4 3 5 5" xfId="6194"/>
    <cellStyle name="Percent 2 4 3 6" xfId="2339"/>
    <cellStyle name="Percent 2 4 3 6 2" xfId="3198"/>
    <cellStyle name="Percent 2 4 3 6 3" xfId="4064"/>
    <cellStyle name="Percent 2 4 3 6 4" xfId="4943"/>
    <cellStyle name="Percent 2 4 3 6 5" xfId="6253"/>
    <cellStyle name="Percent 2 4 3 7" xfId="2632"/>
    <cellStyle name="Percent 2 4 3 8" xfId="3495"/>
    <cellStyle name="Percent 2 4 3 9" xfId="4363"/>
    <cellStyle name="Percent 2 4 4" xfId="1621"/>
    <cellStyle name="Percent 2 4 4 10" xfId="5660"/>
    <cellStyle name="Percent 2 4 4 2" xfId="1622"/>
    <cellStyle name="Percent 2 4 4 2 2" xfId="1961"/>
    <cellStyle name="Percent 2 4 4 2 2 2" xfId="2887"/>
    <cellStyle name="Percent 2 4 4 2 2 3" xfId="3751"/>
    <cellStyle name="Percent 2 4 4 2 2 4" xfId="4626"/>
    <cellStyle name="Percent 2 4 4 2 2 5" xfId="5376"/>
    <cellStyle name="Percent 2 4 4 2 2 6" xfId="5931"/>
    <cellStyle name="Percent 2 4 4 2 3" xfId="2236"/>
    <cellStyle name="Percent 2 4 4 2 3 2" xfId="3142"/>
    <cellStyle name="Percent 2 4 4 2 3 3" xfId="4012"/>
    <cellStyle name="Percent 2 4 4 2 3 4" xfId="4890"/>
    <cellStyle name="Percent 2 4 4 2 3 5" xfId="6199"/>
    <cellStyle name="Percent 2 4 4 2 4" xfId="2637"/>
    <cellStyle name="Percent 2 4 4 2 5" xfId="3500"/>
    <cellStyle name="Percent 2 4 4 2 6" xfId="4368"/>
    <cellStyle name="Percent 2 4 4 2 7" xfId="5375"/>
    <cellStyle name="Percent 2 4 4 2 8" xfId="5661"/>
    <cellStyle name="Percent 2 4 4 3" xfId="1960"/>
    <cellStyle name="Percent 2 4 4 3 2" xfId="2886"/>
    <cellStyle name="Percent 2 4 4 3 3" xfId="3750"/>
    <cellStyle name="Percent 2 4 4 3 4" xfId="4625"/>
    <cellStyle name="Percent 2 4 4 3 5" xfId="5377"/>
    <cellStyle name="Percent 2 4 4 3 6" xfId="5930"/>
    <cellStyle name="Percent 2 4 4 4" xfId="2235"/>
    <cellStyle name="Percent 2 4 4 4 2" xfId="3141"/>
    <cellStyle name="Percent 2 4 4 4 3" xfId="4011"/>
    <cellStyle name="Percent 2 4 4 4 4" xfId="4889"/>
    <cellStyle name="Percent 2 4 4 4 5" xfId="6198"/>
    <cellStyle name="Percent 2 4 4 5" xfId="2361"/>
    <cellStyle name="Percent 2 4 4 5 2" xfId="3220"/>
    <cellStyle name="Percent 2 4 4 5 3" xfId="4086"/>
    <cellStyle name="Percent 2 4 4 5 4" xfId="4965"/>
    <cellStyle name="Percent 2 4 4 5 5" xfId="6275"/>
    <cellStyle name="Percent 2 4 4 6" xfId="2636"/>
    <cellStyle name="Percent 2 4 4 7" xfId="3499"/>
    <cellStyle name="Percent 2 4 4 8" xfId="4367"/>
    <cellStyle name="Percent 2 4 4 9" xfId="5374"/>
    <cellStyle name="Percent 2 4 5" xfId="1623"/>
    <cellStyle name="Percent 2 4 5 2" xfId="1962"/>
    <cellStyle name="Percent 2 4 5 2 2" xfId="2888"/>
    <cellStyle name="Percent 2 4 5 2 3" xfId="3752"/>
    <cellStyle name="Percent 2 4 5 2 4" xfId="4627"/>
    <cellStyle name="Percent 2 4 5 2 5" xfId="5379"/>
    <cellStyle name="Percent 2 4 5 2 6" xfId="5932"/>
    <cellStyle name="Percent 2 4 5 3" xfId="2237"/>
    <cellStyle name="Percent 2 4 5 3 2" xfId="3143"/>
    <cellStyle name="Percent 2 4 5 3 3" xfId="4013"/>
    <cellStyle name="Percent 2 4 5 3 4" xfId="4891"/>
    <cellStyle name="Percent 2 4 5 3 5" xfId="6200"/>
    <cellStyle name="Percent 2 4 5 4" xfId="2638"/>
    <cellStyle name="Percent 2 4 5 5" xfId="3501"/>
    <cellStyle name="Percent 2 4 5 6" xfId="4369"/>
    <cellStyle name="Percent 2 4 5 7" xfId="5378"/>
    <cellStyle name="Percent 2 4 5 8" xfId="5662"/>
    <cellStyle name="Percent 2 4 6" xfId="1947"/>
    <cellStyle name="Percent 2 4 6 2" xfId="2873"/>
    <cellStyle name="Percent 2 4 6 3" xfId="3737"/>
    <cellStyle name="Percent 2 4 6 4" xfId="4612"/>
    <cellStyle name="Percent 2 4 6 5" xfId="5380"/>
    <cellStyle name="Percent 2 4 6 6" xfId="5917"/>
    <cellStyle name="Percent 2 4 7" xfId="2222"/>
    <cellStyle name="Percent 2 4 7 2" xfId="3128"/>
    <cellStyle name="Percent 2 4 7 3" xfId="3998"/>
    <cellStyle name="Percent 2 4 7 4" xfId="4876"/>
    <cellStyle name="Percent 2 4 7 5" xfId="6185"/>
    <cellStyle name="Percent 2 4 8" xfId="2321"/>
    <cellStyle name="Percent 2 4 8 2" xfId="3180"/>
    <cellStyle name="Percent 2 4 8 3" xfId="4046"/>
    <cellStyle name="Percent 2 4 8 4" xfId="4925"/>
    <cellStyle name="Percent 2 4 8 5" xfId="6235"/>
    <cellStyle name="Percent 2 4 9" xfId="2623"/>
    <cellStyle name="Percent 2 5" xfId="1994"/>
    <cellStyle name="Percent 2 5 2" xfId="2900"/>
    <cellStyle name="Percent 2 5 3" xfId="3763"/>
    <cellStyle name="Percent 2 5 4" xfId="4639"/>
    <cellStyle name="Percent 2 5 5" xfId="5948"/>
    <cellStyle name="Percent 2 6" xfId="2249"/>
    <cellStyle name="Percent 2 6 2" xfId="3154"/>
    <cellStyle name="Percent 2 6 3" xfId="4024"/>
    <cellStyle name="Percent 2 6 4" xfId="4903"/>
    <cellStyle name="Percent 2 6 5" xfId="6212"/>
    <cellStyle name="Percent 2 7" xfId="2259"/>
    <cellStyle name="Percent 2 7 2" xfId="3164"/>
    <cellStyle name="Percent 2 7 3" xfId="4033"/>
    <cellStyle name="Percent 2 7 4" xfId="4912"/>
    <cellStyle name="Percent 2 7 5" xfId="6221"/>
    <cellStyle name="Percent 2 8" xfId="2266"/>
    <cellStyle name="Percent 2 9" xfId="5005"/>
    <cellStyle name="Percent 3" xfId="1339"/>
    <cellStyle name="Percent 3 2" xfId="1981"/>
    <cellStyle name="Percent 4" xfId="1442"/>
    <cellStyle name="Percent 4 2" xfId="1984"/>
    <cellStyle name="Percent 5" xfId="1671"/>
    <cellStyle name="Percent 5 2" xfId="1976"/>
    <cellStyle name="Percent 6" xfId="1204"/>
    <cellStyle name="Percent 7" xfId="6679"/>
    <cellStyle name="Percent 8" xfId="6682"/>
    <cellStyle name="Satisfaisant" xfId="1251"/>
    <cellStyle name="Sortie" xfId="1252"/>
    <cellStyle name="Style 26" xfId="1205"/>
    <cellStyle name="Style 26 2" xfId="1262"/>
    <cellStyle name="Style 26 2 2" xfId="1624"/>
    <cellStyle name="Style 26_Monthly Price Data" xfId="1282"/>
    <cellStyle name="Style 34" xfId="1206"/>
    <cellStyle name="Style 34 10" xfId="1625"/>
    <cellStyle name="Style 34 11" xfId="1626"/>
    <cellStyle name="Style 34 12" xfId="1627"/>
    <cellStyle name="Style 34 13" xfId="1628"/>
    <cellStyle name="Style 34 14" xfId="1629"/>
    <cellStyle name="Style 34 15" xfId="1630"/>
    <cellStyle name="Style 34 16" xfId="1631"/>
    <cellStyle name="Style 34 17" xfId="1632"/>
    <cellStyle name="Style 34 18" xfId="1633"/>
    <cellStyle name="Style 34 2" xfId="1263"/>
    <cellStyle name="Style 34 3" xfId="1634"/>
    <cellStyle name="Style 34 4" xfId="1635"/>
    <cellStyle name="Style 34 5" xfId="1636"/>
    <cellStyle name="Style 34 6" xfId="1637"/>
    <cellStyle name="Style 34 7" xfId="1638"/>
    <cellStyle name="Style 34 8" xfId="1639"/>
    <cellStyle name="Style 34 9" xfId="1640"/>
    <cellStyle name="Style 34_Gigajoule Data" xfId="5381"/>
    <cellStyle name="Style 35" xfId="1207"/>
    <cellStyle name="Style 35 10" xfId="1641"/>
    <cellStyle name="Style 35 11" xfId="1642"/>
    <cellStyle name="Style 35 12" xfId="1643"/>
    <cellStyle name="Style 35 13" xfId="1644"/>
    <cellStyle name="Style 35 14" xfId="1645"/>
    <cellStyle name="Style 35 15" xfId="1646"/>
    <cellStyle name="Style 35 16" xfId="1647"/>
    <cellStyle name="Style 35 17" xfId="1648"/>
    <cellStyle name="Style 35 18" xfId="1649"/>
    <cellStyle name="Style 35 2" xfId="1264"/>
    <cellStyle name="Style 35 3" xfId="1650"/>
    <cellStyle name="Style 35 4" xfId="1651"/>
    <cellStyle name="Style 35 5" xfId="1652"/>
    <cellStyle name="Style 35 6" xfId="1653"/>
    <cellStyle name="Style 35 7" xfId="1654"/>
    <cellStyle name="Style 35 8" xfId="1655"/>
    <cellStyle name="Style 35 9" xfId="1656"/>
    <cellStyle name="Style 35_Gigajoule Data" xfId="5382"/>
    <cellStyle name="Texte explicatif" xfId="1253"/>
    <cellStyle name="Title" xfId="158" builtinId="15" customBuiltin="1"/>
    <cellStyle name="Titre" xfId="1254"/>
    <cellStyle name="Titre 1" xfId="1255"/>
    <cellStyle name="Titre 2" xfId="1256"/>
    <cellStyle name="Titre 3" xfId="1257"/>
    <cellStyle name="Titre 4" xfId="1258"/>
    <cellStyle name="Total" xfId="174" builtinId="25" customBuiltin="1"/>
    <cellStyle name="Total 2" xfId="1259"/>
    <cellStyle name="Vérification" xfId="1260"/>
    <cellStyle name="Warning Text" xfId="171" builtinId="11" customBuiltin="1"/>
  </cellStyles>
  <dxfs count="8">
    <dxf>
      <font>
        <color rgb="FF9C0006"/>
      </font>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3" tint="0.79998168889431442"/>
        </patternFill>
      </fill>
    </dxf>
    <dxf>
      <fill>
        <patternFill>
          <bgColor theme="3" tint="0.79998168889431442"/>
        </patternFill>
      </fill>
    </dxf>
  </dxfs>
  <tableStyles count="3" defaultTableStyle="TableStyleMedium2" defaultPivotStyle="PivotStyleLight16">
    <tableStyle name="Table Style 1" pivot="0" count="0"/>
    <tableStyle name="Table Style 2" pivot="0" count="1">
      <tableStyleElement type="secondRowStripe" dxfId="7"/>
    </tableStyle>
    <tableStyle name="Table Style 3" pivot="0" count="1">
      <tableStyleElement type="secondRowStripe" dxfId="6"/>
    </tableStyle>
  </tableStyles>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35"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a:t>Average price</a:t>
            </a:r>
            <a:r>
              <a:rPr lang="en-AU" baseline="0"/>
              <a:t> change of selected commodities 2015 to 2016</a:t>
            </a:r>
            <a:r>
              <a:rPr lang="en-AU"/>
              <a:t>
</a:t>
            </a:r>
          </a:p>
        </c:rich>
      </c:tx>
      <c:layout>
        <c:manualLayout>
          <c:xMode val="edge"/>
          <c:yMode val="edge"/>
          <c:x val="0.17932188176639996"/>
          <c:y val="2.808929056281758E-2"/>
        </c:manualLayout>
      </c:layout>
      <c:overlay val="0"/>
    </c:title>
    <c:autoTitleDeleted val="0"/>
    <c:plotArea>
      <c:layout>
        <c:manualLayout>
          <c:layoutTarget val="inner"/>
          <c:xMode val="edge"/>
          <c:yMode val="edge"/>
          <c:x val="6.6225244571701258E-2"/>
          <c:y val="0.18087476351392764"/>
          <c:w val="0.92384292671845669"/>
          <c:h val="0.49160273640493735"/>
        </c:manualLayout>
      </c:layout>
      <c:barChart>
        <c:barDir val="col"/>
        <c:grouping val="clustered"/>
        <c:varyColors val="0"/>
        <c:ser>
          <c:idx val="0"/>
          <c:order val="0"/>
          <c:tx>
            <c:strRef>
              <c:f>'Comparison 2015 and 2016'!$K$13</c:f>
              <c:strCache>
                <c:ptCount val="1"/>
                <c:pt idx="0">
                  <c:v>US$</c:v>
                </c:pt>
              </c:strCache>
            </c:strRef>
          </c:tx>
          <c:invertIfNegative val="0"/>
          <c:cat>
            <c:strRef>
              <c:f>'Comparison 2015 and 2016'!$J$14:$J$23</c:f>
              <c:strCache>
                <c:ptCount val="10"/>
                <c:pt idx="0">
                  <c:v>Oil</c:v>
                </c:pt>
                <c:pt idx="1">
                  <c:v>Alumina</c:v>
                </c:pt>
                <c:pt idx="2">
                  <c:v>Iron Ore Fines China 62%</c:v>
                </c:pt>
                <c:pt idx="3">
                  <c:v>Iron Ore Fines China 58%</c:v>
                </c:pt>
                <c:pt idx="4">
                  <c:v>Nickel</c:v>
                </c:pt>
                <c:pt idx="5">
                  <c:v>Cobalt</c:v>
                </c:pt>
                <c:pt idx="6">
                  <c:v>Gold</c:v>
                </c:pt>
                <c:pt idx="7">
                  <c:v>Copper</c:v>
                </c:pt>
                <c:pt idx="8">
                  <c:v>Lead</c:v>
                </c:pt>
                <c:pt idx="9">
                  <c:v>Zinc</c:v>
                </c:pt>
              </c:strCache>
            </c:strRef>
          </c:cat>
          <c:val>
            <c:numRef>
              <c:f>'Comparison 2015 and 2016'!$K$14:$K$23</c:f>
              <c:numCache>
                <c:formatCode>0.0_ ;[Red]\-0.0\ </c:formatCode>
                <c:ptCount val="10"/>
                <c:pt idx="0">
                  <c:v>-14.6</c:v>
                </c:pt>
                <c:pt idx="1">
                  <c:v>-16.5</c:v>
                </c:pt>
                <c:pt idx="2">
                  <c:v>6.4</c:v>
                </c:pt>
                <c:pt idx="3">
                  <c:v>2</c:v>
                </c:pt>
                <c:pt idx="4">
                  <c:v>-18.899999999999999</c:v>
                </c:pt>
                <c:pt idx="5">
                  <c:v>-10.4</c:v>
                </c:pt>
                <c:pt idx="6">
                  <c:v>7.6</c:v>
                </c:pt>
                <c:pt idx="7">
                  <c:v>-11.5</c:v>
                </c:pt>
                <c:pt idx="8">
                  <c:v>4.7</c:v>
                </c:pt>
                <c:pt idx="9">
                  <c:v>8.3000000000000007</c:v>
                </c:pt>
              </c:numCache>
            </c:numRef>
          </c:val>
        </c:ser>
        <c:ser>
          <c:idx val="1"/>
          <c:order val="1"/>
          <c:tx>
            <c:strRef>
              <c:f>'Comparison 2015 and 2016'!$L$13</c:f>
              <c:strCache>
                <c:ptCount val="1"/>
                <c:pt idx="0">
                  <c:v>A$</c:v>
                </c:pt>
              </c:strCache>
            </c:strRef>
          </c:tx>
          <c:invertIfNegative val="0"/>
          <c:cat>
            <c:strRef>
              <c:f>'Comparison 2015 and 2016'!$J$14:$J$23</c:f>
              <c:strCache>
                <c:ptCount val="10"/>
                <c:pt idx="0">
                  <c:v>Oil</c:v>
                </c:pt>
                <c:pt idx="1">
                  <c:v>Alumina</c:v>
                </c:pt>
                <c:pt idx="2">
                  <c:v>Iron Ore Fines China 62%</c:v>
                </c:pt>
                <c:pt idx="3">
                  <c:v>Iron Ore Fines China 58%</c:v>
                </c:pt>
                <c:pt idx="4">
                  <c:v>Nickel</c:v>
                </c:pt>
                <c:pt idx="5">
                  <c:v>Cobalt</c:v>
                </c:pt>
                <c:pt idx="6">
                  <c:v>Gold</c:v>
                </c:pt>
                <c:pt idx="7">
                  <c:v>Copper</c:v>
                </c:pt>
                <c:pt idx="8">
                  <c:v>Lead</c:v>
                </c:pt>
                <c:pt idx="9">
                  <c:v>Zinc</c:v>
                </c:pt>
              </c:strCache>
            </c:strRef>
          </c:cat>
          <c:val>
            <c:numRef>
              <c:f>'Comparison 2015 and 2016'!$L$14:$L$23</c:f>
              <c:numCache>
                <c:formatCode>0.0_ ;[Red]\-0.0\ </c:formatCode>
                <c:ptCount val="10"/>
                <c:pt idx="0">
                  <c:v>-13.600000000000001</c:v>
                </c:pt>
                <c:pt idx="1">
                  <c:v>-15.4</c:v>
                </c:pt>
                <c:pt idx="2">
                  <c:v>7.6</c:v>
                </c:pt>
                <c:pt idx="3">
                  <c:v>3.1</c:v>
                </c:pt>
                <c:pt idx="4">
                  <c:v>-17.599999999999998</c:v>
                </c:pt>
                <c:pt idx="5">
                  <c:v>-9.4</c:v>
                </c:pt>
                <c:pt idx="6">
                  <c:v>8.6</c:v>
                </c:pt>
                <c:pt idx="7">
                  <c:v>-10.5</c:v>
                </c:pt>
                <c:pt idx="8">
                  <c:v>5.8999999999999995</c:v>
                </c:pt>
                <c:pt idx="9">
                  <c:v>9.6</c:v>
                </c:pt>
              </c:numCache>
            </c:numRef>
          </c:val>
        </c:ser>
        <c:dLbls>
          <c:showLegendKey val="0"/>
          <c:showVal val="0"/>
          <c:showCatName val="0"/>
          <c:showSerName val="0"/>
          <c:showPercent val="0"/>
          <c:showBubbleSize val="0"/>
        </c:dLbls>
        <c:gapWidth val="80"/>
        <c:axId val="148141952"/>
        <c:axId val="148143488"/>
      </c:barChart>
      <c:catAx>
        <c:axId val="148141952"/>
        <c:scaling>
          <c:orientation val="minMax"/>
        </c:scaling>
        <c:delete val="0"/>
        <c:axPos val="b"/>
        <c:numFmt formatCode="General" sourceLinked="1"/>
        <c:majorTickMark val="none"/>
        <c:minorTickMark val="none"/>
        <c:tickLblPos val="low"/>
        <c:txPr>
          <a:bodyPr rot="2700000" vert="horz"/>
          <a:lstStyle/>
          <a:p>
            <a:pPr>
              <a:defRPr/>
            </a:pPr>
            <a:endParaRPr lang="en-US"/>
          </a:p>
        </c:txPr>
        <c:crossAx val="148143488"/>
        <c:crosses val="autoZero"/>
        <c:auto val="1"/>
        <c:lblAlgn val="ctr"/>
        <c:lblOffset val="100"/>
        <c:tickLblSkip val="1"/>
        <c:tickMarkSkip val="1"/>
        <c:noMultiLvlLbl val="0"/>
      </c:catAx>
      <c:valAx>
        <c:axId val="148143488"/>
        <c:scaling>
          <c:orientation val="minMax"/>
          <c:max val="30"/>
          <c:min val="-50"/>
        </c:scaling>
        <c:delete val="0"/>
        <c:axPos val="l"/>
        <c:title>
          <c:tx>
            <c:rich>
              <a:bodyPr rot="0" vert="horz"/>
              <a:lstStyle/>
              <a:p>
                <a:pPr>
                  <a:defRPr/>
                </a:pPr>
                <a:r>
                  <a:rPr lang="en-AU"/>
                  <a:t>% Change</a:t>
                </a:r>
              </a:p>
            </c:rich>
          </c:tx>
          <c:layout>
            <c:manualLayout>
              <c:xMode val="edge"/>
              <c:yMode val="edge"/>
              <c:x val="1.158942739611016E-2"/>
              <c:y val="7.7876223972787914E-2"/>
            </c:manualLayout>
          </c:layout>
          <c:overlay val="0"/>
        </c:title>
        <c:numFmt formatCode="0" sourceLinked="0"/>
        <c:majorTickMark val="out"/>
        <c:minorTickMark val="none"/>
        <c:tickLblPos val="nextTo"/>
        <c:txPr>
          <a:bodyPr rot="0" vert="horz"/>
          <a:lstStyle/>
          <a:p>
            <a:pPr>
              <a:defRPr/>
            </a:pPr>
            <a:endParaRPr lang="en-US"/>
          </a:p>
        </c:txPr>
        <c:crossAx val="148141952"/>
        <c:crosses val="autoZero"/>
        <c:crossBetween val="between"/>
      </c:valAx>
    </c:plotArea>
    <c:legend>
      <c:legendPos val="r"/>
      <c:layout>
        <c:manualLayout>
          <c:xMode val="edge"/>
          <c:yMode val="edge"/>
          <c:x val="0.10785673915184686"/>
          <c:y val="0.1752800177086298"/>
          <c:w val="0.27317936005115645"/>
          <c:h val="4.9557597073592093E-2"/>
        </c:manualLayout>
      </c:layout>
      <c:overlay val="0"/>
    </c:legend>
    <c:plotVisOnly val="1"/>
    <c:dispBlanksAs val="gap"/>
    <c:showDLblsOverMax val="0"/>
  </c:chart>
  <c:printSettings>
    <c:headerFooter alignWithMargins="0"/>
    <c:pageMargins b="1.87" l="2.8099999999999987" r="3.27" t="2.3499999999999988"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 of Australian mining investment </a:t>
            </a:r>
          </a:p>
          <a:p>
            <a:pPr>
              <a:defRPr/>
            </a:pPr>
            <a:r>
              <a:rPr lang="en-AU" sz="900"/>
              <a:t>Last 10 calendar years</a:t>
            </a:r>
          </a:p>
        </c:rich>
      </c:tx>
      <c:overlay val="0"/>
    </c:title>
    <c:autoTitleDeleted val="0"/>
    <c:plotArea>
      <c:layout/>
      <c:barChart>
        <c:barDir val="col"/>
        <c:grouping val="stacked"/>
        <c:varyColors val="0"/>
        <c:ser>
          <c:idx val="1"/>
          <c:order val="0"/>
          <c:tx>
            <c:strRef>
              <c:f>'Mining Investment'!$J$6</c:f>
              <c:strCache>
                <c:ptCount val="1"/>
                <c:pt idx="0">
                  <c:v>Western Australia (A$ Million)</c:v>
                </c:pt>
              </c:strCache>
            </c:strRef>
          </c:tx>
          <c:invertIfNegative val="0"/>
          <c:cat>
            <c:numRef>
              <c:f>'Mining Investment'!$I$7:$I$16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'Mining Investment'!$J$7:$J$16</c:f>
              <c:numCache>
                <c:formatCode>0</c:formatCode>
                <c:ptCount val="10"/>
                <c:pt idx="0">
                  <c:v>15274</c:v>
                </c:pt>
                <c:pt idx="1">
                  <c:v>21538</c:v>
                </c:pt>
                <c:pt idx="2">
                  <c:v>21718</c:v>
                </c:pt>
                <c:pt idx="3">
                  <c:v>24696</c:v>
                </c:pt>
                <c:pt idx="4">
                  <c:v>35031</c:v>
                </c:pt>
                <c:pt idx="5">
                  <c:v>51040</c:v>
                </c:pt>
                <c:pt idx="6">
                  <c:v>46786</c:v>
                </c:pt>
                <c:pt idx="7">
                  <c:v>46211</c:v>
                </c:pt>
                <c:pt idx="8">
                  <c:v>42384</c:v>
                </c:pt>
                <c:pt idx="9">
                  <c:v>26865</c:v>
                </c:pt>
              </c:numCache>
            </c:numRef>
          </c:val>
        </c:ser>
        <c:ser>
          <c:idx val="2"/>
          <c:order val="1"/>
          <c:tx>
            <c:strRef>
              <c:f>'Mining Investment'!$K$6</c:f>
              <c:strCache>
                <c:ptCount val="1"/>
                <c:pt idx="0">
                  <c:v>Rest of Australia (A$ Million)</c:v>
                </c:pt>
              </c:strCache>
            </c:strRef>
          </c:tx>
          <c:invertIfNegative val="0"/>
          <c:cat>
            <c:numRef>
              <c:f>'Mining Investment'!$I$7:$I$16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'Mining Investment'!$K$7:$K$16</c:f>
              <c:numCache>
                <c:formatCode>0</c:formatCode>
                <c:ptCount val="10"/>
                <c:pt idx="0">
                  <c:v>10862</c:v>
                </c:pt>
                <c:pt idx="1">
                  <c:v>13577</c:v>
                </c:pt>
                <c:pt idx="2">
                  <c:v>13932</c:v>
                </c:pt>
                <c:pt idx="3">
                  <c:v>15165</c:v>
                </c:pt>
                <c:pt idx="4">
                  <c:v>27091</c:v>
                </c:pt>
                <c:pt idx="5">
                  <c:v>43440</c:v>
                </c:pt>
                <c:pt idx="6">
                  <c:v>47112</c:v>
                </c:pt>
                <c:pt idx="7">
                  <c:v>37335</c:v>
                </c:pt>
                <c:pt idx="8">
                  <c:v>22784</c:v>
                </c:pt>
                <c:pt idx="9">
                  <c:v>15756</c:v>
                </c:pt>
              </c:numCache>
            </c:numRef>
          </c:val>
        </c:ser>
        <c:dLbls>
          <c:showLegendKey val="0"/>
          <c:showVal val="0"/>
          <c:showCatName val="0"/>
          <c:showSerName val="0"/>
          <c:showPercent val="0"/>
          <c:showBubbleSize val="0"/>
        </c:dLbls>
        <c:gapWidth val="150"/>
        <c:overlap val="100"/>
        <c:axId val="93518848"/>
        <c:axId val="93602944"/>
      </c:barChart>
      <c:catAx>
        <c:axId val="93518848"/>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93602944"/>
        <c:crosses val="autoZero"/>
        <c:auto val="1"/>
        <c:lblAlgn val="ctr"/>
        <c:lblOffset val="100"/>
        <c:noMultiLvlLbl val="0"/>
      </c:catAx>
      <c:valAx>
        <c:axId val="93602944"/>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93518848"/>
        <c:crosses val="autoZero"/>
        <c:crossBetween val="between"/>
      </c:valAx>
    </c:plotArea>
    <c:legend>
      <c:legendPos val="l"/>
      <c:layout>
        <c:manualLayout>
          <c:xMode val="edge"/>
          <c:yMode val="edge"/>
          <c:x val="0.17349397590361446"/>
          <c:y val="0.2163536033899377"/>
          <c:w val="0.33672327103690353"/>
          <c:h val="0.14524428422350821"/>
        </c:manualLayout>
      </c:layout>
      <c:overlay val="1"/>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 of Australian mining investment</a:t>
            </a:r>
          </a:p>
          <a:p>
            <a:pPr>
              <a:defRPr/>
            </a:pPr>
            <a:r>
              <a:rPr lang="en-AU" sz="900"/>
              <a:t>Last 10 financial years</a:t>
            </a:r>
          </a:p>
        </c:rich>
      </c:tx>
      <c:overlay val="0"/>
    </c:title>
    <c:autoTitleDeleted val="0"/>
    <c:plotArea>
      <c:layout/>
      <c:barChart>
        <c:barDir val="col"/>
        <c:grouping val="stacked"/>
        <c:varyColors val="0"/>
        <c:ser>
          <c:idx val="1"/>
          <c:order val="0"/>
          <c:tx>
            <c:strRef>
              <c:f>'Mining Investment'!$P$6</c:f>
              <c:strCache>
                <c:ptCount val="1"/>
                <c:pt idx="0">
                  <c:v>Western Australia (A$ Million)</c:v>
                </c:pt>
              </c:strCache>
            </c:strRef>
          </c:tx>
          <c:invertIfNegative val="0"/>
          <c:dPt>
            <c:idx val="9"/>
            <c:invertIfNegative val="0"/>
            <c:bubble3D val="0"/>
            <c:spPr>
              <a:noFill/>
            </c:spPr>
          </c:dPt>
          <c:cat>
            <c:strRef>
              <c:f>'Mining Investment'!$O$7:$O$16</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'Mining Investment'!$P$7:$P$16</c:f>
              <c:numCache>
                <c:formatCode>0</c:formatCode>
                <c:ptCount val="10"/>
                <c:pt idx="0">
                  <c:v>13840</c:v>
                </c:pt>
                <c:pt idx="1">
                  <c:v>17350</c:v>
                </c:pt>
                <c:pt idx="2">
                  <c:v>23406</c:v>
                </c:pt>
                <c:pt idx="3">
                  <c:v>21928</c:v>
                </c:pt>
                <c:pt idx="4">
                  <c:v>28293</c:v>
                </c:pt>
                <c:pt idx="5">
                  <c:v>45071</c:v>
                </c:pt>
                <c:pt idx="6">
                  <c:v>48200</c:v>
                </c:pt>
                <c:pt idx="7">
                  <c:v>46759</c:v>
                </c:pt>
                <c:pt idx="8">
                  <c:v>45990</c:v>
                </c:pt>
                <c:pt idx="9">
                  <c:v>35211</c:v>
                </c:pt>
              </c:numCache>
            </c:numRef>
          </c:val>
        </c:ser>
        <c:ser>
          <c:idx val="2"/>
          <c:order val="1"/>
          <c:tx>
            <c:strRef>
              <c:f>'Mining Investment'!$Q$6</c:f>
              <c:strCache>
                <c:ptCount val="1"/>
                <c:pt idx="0">
                  <c:v>Rest of Australia (A$ Million)</c:v>
                </c:pt>
              </c:strCache>
            </c:strRef>
          </c:tx>
          <c:invertIfNegative val="0"/>
          <c:dPt>
            <c:idx val="9"/>
            <c:invertIfNegative val="0"/>
            <c:bubble3D val="0"/>
            <c:spPr>
              <a:noFill/>
            </c:spPr>
          </c:dPt>
          <c:cat>
            <c:strRef>
              <c:f>'Mining Investment'!$O$7:$O$16</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'Mining Investment'!$Q$7:$Q$16</c:f>
              <c:numCache>
                <c:formatCode>0</c:formatCode>
                <c:ptCount val="10"/>
                <c:pt idx="0">
                  <c:v>9781</c:v>
                </c:pt>
                <c:pt idx="1">
                  <c:v>11851</c:v>
                </c:pt>
                <c:pt idx="2">
                  <c:v>14571</c:v>
                </c:pt>
                <c:pt idx="3">
                  <c:v>13257</c:v>
                </c:pt>
                <c:pt idx="4">
                  <c:v>18554</c:v>
                </c:pt>
                <c:pt idx="5">
                  <c:v>36926</c:v>
                </c:pt>
                <c:pt idx="6">
                  <c:v>46509</c:v>
                </c:pt>
                <c:pt idx="7">
                  <c:v>43633</c:v>
                </c:pt>
                <c:pt idx="8">
                  <c:v>30127</c:v>
                </c:pt>
                <c:pt idx="9">
                  <c:v>18178</c:v>
                </c:pt>
              </c:numCache>
            </c:numRef>
          </c:val>
        </c:ser>
        <c:dLbls>
          <c:showLegendKey val="0"/>
          <c:showVal val="0"/>
          <c:showCatName val="0"/>
          <c:showSerName val="0"/>
          <c:showPercent val="0"/>
          <c:showBubbleSize val="0"/>
        </c:dLbls>
        <c:gapWidth val="150"/>
        <c:overlap val="100"/>
        <c:axId val="93645824"/>
        <c:axId val="93648000"/>
      </c:barChart>
      <c:catAx>
        <c:axId val="93645824"/>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0" sourceLinked="1"/>
        <c:majorTickMark val="out"/>
        <c:minorTickMark val="none"/>
        <c:tickLblPos val="nextTo"/>
        <c:crossAx val="93648000"/>
        <c:crosses val="autoZero"/>
        <c:auto val="1"/>
        <c:lblAlgn val="ctr"/>
        <c:lblOffset val="100"/>
        <c:noMultiLvlLbl val="0"/>
      </c:catAx>
      <c:valAx>
        <c:axId val="93648000"/>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93645824"/>
        <c:crosses val="autoZero"/>
        <c:crossBetween val="between"/>
      </c:valAx>
    </c:plotArea>
    <c:legend>
      <c:legendPos val="l"/>
      <c:layout>
        <c:manualLayout>
          <c:xMode val="edge"/>
          <c:yMode val="edge"/>
          <c:x val="0.17349397590361446"/>
          <c:y val="0.2163536033899377"/>
          <c:w val="0.33672327103690353"/>
          <c:h val="0.14524428422350821"/>
        </c:manualLayout>
      </c:layout>
      <c:overlay val="1"/>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 of Australian new captial expenditure</a:t>
            </a:r>
          </a:p>
          <a:p>
            <a:pPr>
              <a:defRPr/>
            </a:pPr>
            <a:r>
              <a:rPr lang="en-AU" sz="900"/>
              <a:t>Last 10 calendar years</a:t>
            </a:r>
          </a:p>
        </c:rich>
      </c:tx>
      <c:overlay val="0"/>
    </c:title>
    <c:autoTitleDeleted val="0"/>
    <c:plotArea>
      <c:layout/>
      <c:barChart>
        <c:barDir val="col"/>
        <c:grouping val="stacked"/>
        <c:varyColors val="0"/>
        <c:ser>
          <c:idx val="1"/>
          <c:order val="0"/>
          <c:tx>
            <c:strRef>
              <c:f>'New Capital Expenditure'!$J$6</c:f>
              <c:strCache>
                <c:ptCount val="1"/>
                <c:pt idx="0">
                  <c:v>Western Australia (A$ Million)</c:v>
                </c:pt>
              </c:strCache>
            </c:strRef>
          </c:tx>
          <c:invertIfNegative val="0"/>
          <c:cat>
            <c:numRef>
              <c:f>'New Capital Expenditure'!$I$7:$I$16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'New Capital Expenditure'!$J$7:$J$16</c:f>
              <c:numCache>
                <c:formatCode>0</c:formatCode>
                <c:ptCount val="10"/>
                <c:pt idx="0">
                  <c:v>23450</c:v>
                </c:pt>
                <c:pt idx="1">
                  <c:v>29739</c:v>
                </c:pt>
                <c:pt idx="2">
                  <c:v>31378</c:v>
                </c:pt>
                <c:pt idx="3">
                  <c:v>33060</c:v>
                </c:pt>
                <c:pt idx="4">
                  <c:v>44871</c:v>
                </c:pt>
                <c:pt idx="5">
                  <c:v>61934</c:v>
                </c:pt>
                <c:pt idx="6">
                  <c:v>56010</c:v>
                </c:pt>
                <c:pt idx="7">
                  <c:v>55810</c:v>
                </c:pt>
                <c:pt idx="8">
                  <c:v>50803</c:v>
                </c:pt>
                <c:pt idx="9">
                  <c:v>33760</c:v>
                </c:pt>
              </c:numCache>
            </c:numRef>
          </c:val>
        </c:ser>
        <c:ser>
          <c:idx val="2"/>
          <c:order val="1"/>
          <c:tx>
            <c:strRef>
              <c:f>'New Capital Expenditure'!$K$6</c:f>
              <c:strCache>
                <c:ptCount val="1"/>
                <c:pt idx="0">
                  <c:v>Rest of Australia (A$ Million)</c:v>
                </c:pt>
              </c:strCache>
            </c:strRef>
          </c:tx>
          <c:invertIfNegative val="0"/>
          <c:cat>
            <c:numRef>
              <c:f>'New Capital Expenditure'!$I$7:$I$16</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'New Capital Expenditure'!$K$7:$K$16</c:f>
              <c:numCache>
                <c:formatCode>0</c:formatCode>
                <c:ptCount val="10"/>
                <c:pt idx="0">
                  <c:v>69986</c:v>
                </c:pt>
                <c:pt idx="1">
                  <c:v>77137</c:v>
                </c:pt>
                <c:pt idx="2">
                  <c:v>78869</c:v>
                </c:pt>
                <c:pt idx="3">
                  <c:v>77368</c:v>
                </c:pt>
                <c:pt idx="4">
                  <c:v>91872</c:v>
                </c:pt>
                <c:pt idx="5">
                  <c:v>101476</c:v>
                </c:pt>
                <c:pt idx="6">
                  <c:v>103511</c:v>
                </c:pt>
                <c:pt idx="7">
                  <c:v>99790</c:v>
                </c:pt>
                <c:pt idx="8">
                  <c:v>87857</c:v>
                </c:pt>
                <c:pt idx="9">
                  <c:v>83691</c:v>
                </c:pt>
              </c:numCache>
            </c:numRef>
          </c:val>
        </c:ser>
        <c:dLbls>
          <c:showLegendKey val="0"/>
          <c:showVal val="0"/>
          <c:showCatName val="0"/>
          <c:showSerName val="0"/>
          <c:showPercent val="0"/>
          <c:showBubbleSize val="0"/>
        </c:dLbls>
        <c:gapWidth val="150"/>
        <c:overlap val="100"/>
        <c:axId val="94034560"/>
        <c:axId val="94040832"/>
      </c:barChart>
      <c:catAx>
        <c:axId val="94034560"/>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94040832"/>
        <c:crosses val="autoZero"/>
        <c:auto val="1"/>
        <c:lblAlgn val="ctr"/>
        <c:lblOffset val="100"/>
        <c:noMultiLvlLbl val="0"/>
      </c:catAx>
      <c:valAx>
        <c:axId val="94040832"/>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94034560"/>
        <c:crosses val="autoZero"/>
        <c:crossBetween val="between"/>
      </c:valAx>
    </c:plotArea>
    <c:legend>
      <c:legendPos val="l"/>
      <c:layout>
        <c:manualLayout>
          <c:xMode val="edge"/>
          <c:yMode val="edge"/>
          <c:x val="0.18110815780007192"/>
          <c:y val="0.22627310930395997"/>
          <c:w val="0.33672327103690353"/>
          <c:h val="0.18950877042009093"/>
        </c:manualLayout>
      </c:layout>
      <c:overlay val="1"/>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a:t>
            </a:r>
            <a:r>
              <a:rPr lang="en-AU" sz="1300" baseline="0"/>
              <a:t> of Australia's new capital expenditure</a:t>
            </a:r>
            <a:endParaRPr lang="en-AU" sz="1300"/>
          </a:p>
          <a:p>
            <a:pPr>
              <a:defRPr/>
            </a:pPr>
            <a:r>
              <a:rPr lang="en-AU" sz="900"/>
              <a:t>Last 10 financial years</a:t>
            </a:r>
          </a:p>
        </c:rich>
      </c:tx>
      <c:overlay val="0"/>
    </c:title>
    <c:autoTitleDeleted val="0"/>
    <c:plotArea>
      <c:layout/>
      <c:barChart>
        <c:barDir val="col"/>
        <c:grouping val="stacked"/>
        <c:varyColors val="0"/>
        <c:ser>
          <c:idx val="1"/>
          <c:order val="0"/>
          <c:tx>
            <c:strRef>
              <c:f>'New Capital Expenditure'!$J$6</c:f>
              <c:strCache>
                <c:ptCount val="1"/>
                <c:pt idx="0">
                  <c:v>Western Australia (A$ Million)</c:v>
                </c:pt>
              </c:strCache>
            </c:strRef>
          </c:tx>
          <c:invertIfNegative val="0"/>
          <c:dPt>
            <c:idx val="9"/>
            <c:invertIfNegative val="0"/>
            <c:bubble3D val="0"/>
            <c:spPr>
              <a:noFill/>
            </c:spPr>
          </c:dPt>
          <c:cat>
            <c:strRef>
              <c:f>'New Capital Expenditure'!$O$7:$O$16</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'New Capital Expenditure'!$P$7:$P$16</c:f>
              <c:numCache>
                <c:formatCode>0</c:formatCode>
                <c:ptCount val="10"/>
                <c:pt idx="0">
                  <c:v>21275</c:v>
                </c:pt>
                <c:pt idx="1">
                  <c:v>25124</c:v>
                </c:pt>
                <c:pt idx="2">
                  <c:v>32988</c:v>
                </c:pt>
                <c:pt idx="3">
                  <c:v>30601</c:v>
                </c:pt>
                <c:pt idx="4">
                  <c:v>36927</c:v>
                </c:pt>
                <c:pt idx="5">
                  <c:v>55967</c:v>
                </c:pt>
                <c:pt idx="6">
                  <c:v>58169</c:v>
                </c:pt>
                <c:pt idx="7">
                  <c:v>55946</c:v>
                </c:pt>
                <c:pt idx="8">
                  <c:v>55112</c:v>
                </c:pt>
                <c:pt idx="9">
                  <c:v>43160</c:v>
                </c:pt>
              </c:numCache>
            </c:numRef>
          </c:val>
        </c:ser>
        <c:ser>
          <c:idx val="2"/>
          <c:order val="1"/>
          <c:tx>
            <c:strRef>
              <c:f>'New Capital Expenditure'!$Q$6</c:f>
              <c:strCache>
                <c:ptCount val="1"/>
                <c:pt idx="0">
                  <c:v>Rest of Australia (A$ Million)</c:v>
                </c:pt>
              </c:strCache>
            </c:strRef>
          </c:tx>
          <c:invertIfNegative val="0"/>
          <c:dPt>
            <c:idx val="9"/>
            <c:invertIfNegative val="0"/>
            <c:bubble3D val="0"/>
            <c:spPr>
              <a:noFill/>
            </c:spPr>
          </c:dPt>
          <c:cat>
            <c:strRef>
              <c:f>'New Capital Expenditure'!$O$7:$O$16</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'New Capital Expenditure'!$Q$7:$Q$16</c:f>
              <c:numCache>
                <c:formatCode>0</c:formatCode>
                <c:ptCount val="10"/>
                <c:pt idx="0">
                  <c:v>66200</c:v>
                </c:pt>
                <c:pt idx="1">
                  <c:v>71709</c:v>
                </c:pt>
                <c:pt idx="2">
                  <c:v>80213</c:v>
                </c:pt>
                <c:pt idx="3">
                  <c:v>76503</c:v>
                </c:pt>
                <c:pt idx="4">
                  <c:v>82414</c:v>
                </c:pt>
                <c:pt idx="5">
                  <c:v>98874</c:v>
                </c:pt>
                <c:pt idx="6">
                  <c:v>102361</c:v>
                </c:pt>
                <c:pt idx="7">
                  <c:v>102013</c:v>
                </c:pt>
                <c:pt idx="8">
                  <c:v>95542</c:v>
                </c:pt>
                <c:pt idx="9">
                  <c:v>84532</c:v>
                </c:pt>
              </c:numCache>
            </c:numRef>
          </c:val>
        </c:ser>
        <c:dLbls>
          <c:showLegendKey val="0"/>
          <c:showVal val="0"/>
          <c:showCatName val="0"/>
          <c:showSerName val="0"/>
          <c:showPercent val="0"/>
          <c:showBubbleSize val="0"/>
        </c:dLbls>
        <c:gapWidth val="150"/>
        <c:overlap val="100"/>
        <c:axId val="93813376"/>
        <c:axId val="93827840"/>
      </c:barChart>
      <c:catAx>
        <c:axId val="93813376"/>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0" sourceLinked="1"/>
        <c:majorTickMark val="out"/>
        <c:minorTickMark val="none"/>
        <c:tickLblPos val="nextTo"/>
        <c:crossAx val="93827840"/>
        <c:crosses val="autoZero"/>
        <c:auto val="1"/>
        <c:lblAlgn val="ctr"/>
        <c:lblOffset val="100"/>
        <c:noMultiLvlLbl val="0"/>
      </c:catAx>
      <c:valAx>
        <c:axId val="93827840"/>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93813376"/>
        <c:crosses val="autoZero"/>
        <c:crossBetween val="between"/>
      </c:valAx>
    </c:plotArea>
    <c:legend>
      <c:legendPos val="l"/>
      <c:layout>
        <c:manualLayout>
          <c:xMode val="edge"/>
          <c:yMode val="edge"/>
          <c:x val="0.17349397590361446"/>
          <c:y val="0.2163536033899377"/>
          <c:w val="0.33672327103690353"/>
          <c:h val="0.14524428422350821"/>
        </c:manualLayout>
      </c:layout>
      <c:overlay val="1"/>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b="1" i="0" baseline="0">
                <a:effectLst/>
              </a:rPr>
              <a:t>Western Australia's share of Australian mineral exploration expenditure</a:t>
            </a:r>
            <a:endParaRPr lang="en-AU" sz="1300">
              <a:effectLst/>
            </a:endParaRPr>
          </a:p>
          <a:p>
            <a:pPr>
              <a:defRPr/>
            </a:pPr>
            <a:r>
              <a:rPr lang="en-AU" sz="900"/>
              <a:t>Last 10 calendar years</a:t>
            </a:r>
          </a:p>
        </c:rich>
      </c:tx>
      <c:overlay val="0"/>
    </c:title>
    <c:autoTitleDeleted val="0"/>
    <c:plotArea>
      <c:layout/>
      <c:barChart>
        <c:barDir val="col"/>
        <c:grouping val="stacked"/>
        <c:varyColors val="0"/>
        <c:ser>
          <c:idx val="1"/>
          <c:order val="0"/>
          <c:tx>
            <c:strRef>
              <c:f>'Mineral Exploration'!$O$8</c:f>
              <c:strCache>
                <c:ptCount val="1"/>
                <c:pt idx="0">
                  <c:v>Western Australia (A$ Million)</c:v>
                </c:pt>
              </c:strCache>
            </c:strRef>
          </c:tx>
          <c:invertIfNegative val="0"/>
          <c:cat>
            <c:numRef>
              <c:f>'Petroleum Exploration'!$N$9:$N$18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'Mineral Exploration'!$O$9:$O$18</c:f>
              <c:numCache>
                <c:formatCode>0</c:formatCode>
                <c:ptCount val="10"/>
                <c:pt idx="0">
                  <c:v>1038.8</c:v>
                </c:pt>
                <c:pt idx="1">
                  <c:v>1400.3999999999999</c:v>
                </c:pt>
                <c:pt idx="2">
                  <c:v>1119.5999999999999</c:v>
                </c:pt>
                <c:pt idx="3">
                  <c:v>1401.7</c:v>
                </c:pt>
                <c:pt idx="4">
                  <c:v>1825.3000000000002</c:v>
                </c:pt>
                <c:pt idx="5">
                  <c:v>2052.6</c:v>
                </c:pt>
                <c:pt idx="6">
                  <c:v>1508.2</c:v>
                </c:pt>
                <c:pt idx="7">
                  <c:v>1045.3</c:v>
                </c:pt>
                <c:pt idx="8">
                  <c:v>843.7</c:v>
                </c:pt>
                <c:pt idx="9">
                  <c:v>927.59999999999991</c:v>
                </c:pt>
              </c:numCache>
            </c:numRef>
          </c:val>
        </c:ser>
        <c:ser>
          <c:idx val="2"/>
          <c:order val="1"/>
          <c:tx>
            <c:strRef>
              <c:f>'Mineral Exploration'!$P$8</c:f>
              <c:strCache>
                <c:ptCount val="1"/>
                <c:pt idx="0">
                  <c:v>Rest of Australia (A$ Million)</c:v>
                </c:pt>
              </c:strCache>
            </c:strRef>
          </c:tx>
          <c:invertIfNegative val="0"/>
          <c:cat>
            <c:numRef>
              <c:f>'Petroleum Exploration'!$N$9:$N$18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'Mineral Exploration'!$P$9:$P$18</c:f>
              <c:numCache>
                <c:formatCode>0</c:formatCode>
                <c:ptCount val="10"/>
                <c:pt idx="0">
                  <c:v>1022.3</c:v>
                </c:pt>
                <c:pt idx="1">
                  <c:v>1207.9000000000003</c:v>
                </c:pt>
                <c:pt idx="2">
                  <c:v>903.60000000000014</c:v>
                </c:pt>
                <c:pt idx="3">
                  <c:v>1088.5000000000002</c:v>
                </c:pt>
                <c:pt idx="4">
                  <c:v>1748</c:v>
                </c:pt>
                <c:pt idx="5">
                  <c:v>1603.1999999999998</c:v>
                </c:pt>
                <c:pt idx="6">
                  <c:v>1014.4000000000003</c:v>
                </c:pt>
                <c:pt idx="7">
                  <c:v>794.60000000000014</c:v>
                </c:pt>
                <c:pt idx="8">
                  <c:v>594.89999999999986</c:v>
                </c:pt>
                <c:pt idx="9">
                  <c:v>499.30000000000018</c:v>
                </c:pt>
              </c:numCache>
            </c:numRef>
          </c:val>
        </c:ser>
        <c:dLbls>
          <c:showLegendKey val="0"/>
          <c:showVal val="0"/>
          <c:showCatName val="0"/>
          <c:showSerName val="0"/>
          <c:showPercent val="0"/>
          <c:showBubbleSize val="0"/>
        </c:dLbls>
        <c:gapWidth val="150"/>
        <c:overlap val="100"/>
        <c:axId val="93907200"/>
        <c:axId val="93909376"/>
      </c:barChart>
      <c:catAx>
        <c:axId val="93907200"/>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93909376"/>
        <c:crosses val="autoZero"/>
        <c:auto val="1"/>
        <c:lblAlgn val="ctr"/>
        <c:lblOffset val="100"/>
        <c:noMultiLvlLbl val="0"/>
      </c:catAx>
      <c:valAx>
        <c:axId val="93909376"/>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93907200"/>
        <c:crosses val="autoZero"/>
        <c:crossBetween val="between"/>
      </c:valAx>
    </c:plotArea>
    <c:legend>
      <c:legendPos val="l"/>
      <c:layout>
        <c:manualLayout>
          <c:xMode val="edge"/>
          <c:yMode val="edge"/>
          <c:x val="0.16308959381409766"/>
          <c:y val="0.20770450863453388"/>
          <c:w val="0.33672327103690353"/>
          <c:h val="0.21351737659298611"/>
        </c:manualLayout>
      </c:layout>
      <c:overlay val="1"/>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 of Australian mineral exploration expenditure</a:t>
            </a:r>
          </a:p>
          <a:p>
            <a:pPr>
              <a:defRPr/>
            </a:pPr>
            <a:r>
              <a:rPr lang="en-AU" sz="900"/>
              <a:t>Last 10 Financial Years</a:t>
            </a:r>
          </a:p>
        </c:rich>
      </c:tx>
      <c:layout>
        <c:manualLayout>
          <c:xMode val="edge"/>
          <c:yMode val="edge"/>
          <c:x val="0.11162553048623752"/>
          <c:y val="3.2432432432432434E-2"/>
        </c:manualLayout>
      </c:layout>
      <c:overlay val="0"/>
    </c:title>
    <c:autoTitleDeleted val="0"/>
    <c:plotArea>
      <c:layout/>
      <c:barChart>
        <c:barDir val="col"/>
        <c:grouping val="stacked"/>
        <c:varyColors val="0"/>
        <c:ser>
          <c:idx val="1"/>
          <c:order val="0"/>
          <c:tx>
            <c:strRef>
              <c:f>'Mineral Exploration'!$U$8</c:f>
              <c:strCache>
                <c:ptCount val="1"/>
                <c:pt idx="0">
                  <c:v>Western Australia (A$ Million)</c:v>
                </c:pt>
              </c:strCache>
            </c:strRef>
          </c:tx>
          <c:invertIfNegative val="0"/>
          <c:cat>
            <c:strRef>
              <c:f>'Mineral Exploration'!$T$9:$T$18</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'Mineral Exploration'!$U$9:$U$18</c:f>
              <c:numCache>
                <c:formatCode>0</c:formatCode>
                <c:ptCount val="10"/>
                <c:pt idx="0">
                  <c:v>839.2</c:v>
                </c:pt>
                <c:pt idx="1">
                  <c:v>1259.6999999999998</c:v>
                </c:pt>
                <c:pt idx="2">
                  <c:v>1246.8</c:v>
                </c:pt>
                <c:pt idx="3">
                  <c:v>1244</c:v>
                </c:pt>
                <c:pt idx="4">
                  <c:v>1590.1</c:v>
                </c:pt>
                <c:pt idx="5">
                  <c:v>2106.8000000000002</c:v>
                </c:pt>
                <c:pt idx="6">
                  <c:v>1763.4</c:v>
                </c:pt>
                <c:pt idx="7">
                  <c:v>1220</c:v>
                </c:pt>
                <c:pt idx="8">
                  <c:v>917.4</c:v>
                </c:pt>
                <c:pt idx="9">
                  <c:v>871</c:v>
                </c:pt>
              </c:numCache>
            </c:numRef>
          </c:val>
        </c:ser>
        <c:ser>
          <c:idx val="2"/>
          <c:order val="1"/>
          <c:tx>
            <c:strRef>
              <c:f>'Mineral Exploration'!$V$8</c:f>
              <c:strCache>
                <c:ptCount val="1"/>
                <c:pt idx="0">
                  <c:v>Rest of Australia (A$ Million)</c:v>
                </c:pt>
              </c:strCache>
            </c:strRef>
          </c:tx>
          <c:invertIfNegative val="0"/>
          <c:cat>
            <c:strRef>
              <c:f>'Mineral Exploration'!$T$9:$T$18</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'Mineral Exploration'!$V$9:$V$18</c:f>
              <c:numCache>
                <c:formatCode>0</c:formatCode>
                <c:ptCount val="10"/>
                <c:pt idx="0">
                  <c:v>875.39999999999986</c:v>
                </c:pt>
                <c:pt idx="1">
                  <c:v>1201.7000000000003</c:v>
                </c:pt>
                <c:pt idx="2">
                  <c:v>976.39999999999986</c:v>
                </c:pt>
                <c:pt idx="3">
                  <c:v>988.59999999999991</c:v>
                </c:pt>
                <c:pt idx="4">
                  <c:v>1361.2000000000003</c:v>
                </c:pt>
                <c:pt idx="5">
                  <c:v>1846.1999999999998</c:v>
                </c:pt>
                <c:pt idx="6">
                  <c:v>1292.0000000000005</c:v>
                </c:pt>
                <c:pt idx="7">
                  <c:v>888.80000000000018</c:v>
                </c:pt>
                <c:pt idx="8">
                  <c:v>661.30000000000007</c:v>
                </c:pt>
                <c:pt idx="9">
                  <c:v>550.09999999999991</c:v>
                </c:pt>
              </c:numCache>
            </c:numRef>
          </c:val>
        </c:ser>
        <c:dLbls>
          <c:showLegendKey val="0"/>
          <c:showVal val="0"/>
          <c:showCatName val="0"/>
          <c:showSerName val="0"/>
          <c:showPercent val="0"/>
          <c:showBubbleSize val="0"/>
        </c:dLbls>
        <c:gapWidth val="150"/>
        <c:overlap val="100"/>
        <c:axId val="94086656"/>
        <c:axId val="94088576"/>
      </c:barChart>
      <c:catAx>
        <c:axId val="94086656"/>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0" sourceLinked="1"/>
        <c:majorTickMark val="out"/>
        <c:minorTickMark val="none"/>
        <c:tickLblPos val="nextTo"/>
        <c:crossAx val="94088576"/>
        <c:crosses val="autoZero"/>
        <c:auto val="1"/>
        <c:lblAlgn val="ctr"/>
        <c:lblOffset val="100"/>
        <c:noMultiLvlLbl val="0"/>
      </c:catAx>
      <c:valAx>
        <c:axId val="94088576"/>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94086656"/>
        <c:crosses val="autoZero"/>
        <c:crossBetween val="between"/>
      </c:valAx>
    </c:plotArea>
    <c:legend>
      <c:legendPos val="l"/>
      <c:layout>
        <c:manualLayout>
          <c:xMode val="edge"/>
          <c:yMode val="edge"/>
          <c:x val="0.64517953909991765"/>
          <c:y val="0.16950670355394765"/>
          <c:w val="0.33672327103690353"/>
          <c:h val="0.21371270483081506"/>
        </c:manualLayout>
      </c:layout>
      <c:overlay val="1"/>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a:t>Historical mineral exploration expenditure</a:t>
            </a:r>
            <a:r>
              <a:rPr lang="en-AU" baseline="0"/>
              <a:t> in Western Australia</a:t>
            </a:r>
            <a:endParaRPr lang="en-AU"/>
          </a:p>
        </c:rich>
      </c:tx>
      <c:overlay val="0"/>
    </c:title>
    <c:autoTitleDeleted val="0"/>
    <c:plotArea>
      <c:layout/>
      <c:barChart>
        <c:barDir val="col"/>
        <c:grouping val="clustered"/>
        <c:varyColors val="0"/>
        <c:ser>
          <c:idx val="0"/>
          <c:order val="0"/>
          <c:tx>
            <c:v>WA's Exploration Spend</c:v>
          </c:tx>
          <c:invertIfNegative val="0"/>
          <c:dPt>
            <c:idx val="43"/>
            <c:invertIfNegative val="0"/>
            <c:bubble3D val="0"/>
            <c:spPr>
              <a:solidFill>
                <a:schemeClr val="accent6">
                  <a:lumMod val="50000"/>
                </a:schemeClr>
              </a:solidFill>
            </c:spPr>
          </c:dPt>
          <c:dPt>
            <c:idx val="68"/>
            <c:invertIfNegative val="0"/>
            <c:bubble3D val="0"/>
            <c:spPr>
              <a:solidFill>
                <a:schemeClr val="accent6">
                  <a:lumMod val="50000"/>
                </a:schemeClr>
              </a:solidFill>
            </c:spPr>
          </c:dPt>
          <c:dPt>
            <c:idx val="83"/>
            <c:invertIfNegative val="0"/>
            <c:bubble3D val="0"/>
            <c:spPr>
              <a:solidFill>
                <a:schemeClr val="accent6">
                  <a:lumMod val="50000"/>
                </a:schemeClr>
              </a:solidFill>
            </c:spPr>
          </c:dPt>
          <c:dPt>
            <c:idx val="96"/>
            <c:invertIfNegative val="0"/>
            <c:bubble3D val="0"/>
            <c:spPr>
              <a:solidFill>
                <a:schemeClr val="accent6">
                  <a:lumMod val="50000"/>
                </a:schemeClr>
              </a:solidFill>
            </c:spPr>
          </c:dPt>
          <c:dPt>
            <c:idx val="101"/>
            <c:invertIfNegative val="0"/>
            <c:bubble3D val="0"/>
            <c:spPr>
              <a:solidFill>
                <a:schemeClr val="accent6">
                  <a:lumMod val="50000"/>
                </a:schemeClr>
              </a:solidFill>
            </c:spPr>
          </c:dPt>
          <c:dLbls>
            <c:dLbl>
              <c:idx val="43"/>
              <c:layout>
                <c:manualLayout>
                  <c:x val="5.1219503670014113E-2"/>
                  <c:y val="-1.5417699470432374E-2"/>
                </c:manualLayout>
              </c:layout>
              <c:tx>
                <c:rich>
                  <a:bodyPr/>
                  <a:lstStyle/>
                  <a:p>
                    <a:r>
                      <a:rPr lang="en-US"/>
                      <a:t>Thunderbox Discovered</a:t>
                    </a:r>
                  </a:p>
                </c:rich>
              </c:tx>
              <c:showLegendKey val="0"/>
              <c:showVal val="1"/>
              <c:showCatName val="0"/>
              <c:showSerName val="0"/>
              <c:showPercent val="0"/>
              <c:showBubbleSize val="0"/>
            </c:dLbl>
            <c:dLbl>
              <c:idx val="68"/>
              <c:layout>
                <c:manualLayout>
                  <c:x val="-4.1517734203870456E-2"/>
                  <c:y val="-4.2100840650428802E-2"/>
                </c:manualLayout>
              </c:layout>
              <c:tx>
                <c:rich>
                  <a:bodyPr/>
                  <a:lstStyle/>
                  <a:p>
                    <a:r>
                      <a:rPr lang="en-US">
                        <a:solidFill>
                          <a:schemeClr val="dk1"/>
                        </a:solidFill>
                        <a:latin typeface="+mn-lt"/>
                        <a:ea typeface="+mn-ea"/>
                        <a:cs typeface="+mn-cs"/>
                      </a:rPr>
                      <a:t>Tropicana Discovered</a:t>
                    </a:r>
                    <a:endParaRPr lang="en-US"/>
                  </a:p>
                </c:rich>
              </c:tx>
              <c:dLblPos val="outEnd"/>
              <c:showLegendKey val="0"/>
              <c:showVal val="1"/>
              <c:showCatName val="0"/>
              <c:showSerName val="0"/>
              <c:showPercent val="0"/>
              <c:showBubbleSize val="0"/>
            </c:dLbl>
            <c:dLbl>
              <c:idx val="83"/>
              <c:layout>
                <c:manualLayout>
                  <c:x val="-6.9196093946657204E-3"/>
                  <c:y val="-0.14687159105217817"/>
                </c:manualLayout>
              </c:layout>
              <c:tx>
                <c:rich>
                  <a:bodyPr/>
                  <a:lstStyle/>
                  <a:p>
                    <a:r>
                      <a:rPr lang="en-US"/>
                      <a:t>DeGrussa Discovered</a:t>
                    </a:r>
                  </a:p>
                </c:rich>
              </c:tx>
              <c:dLblPos val="outEnd"/>
              <c:showLegendKey val="0"/>
              <c:showVal val="1"/>
              <c:showCatName val="0"/>
              <c:showSerName val="0"/>
              <c:showPercent val="0"/>
              <c:showBubbleSize val="0"/>
            </c:dLbl>
            <c:dLbl>
              <c:idx val="96"/>
              <c:layout>
                <c:manualLayout>
                  <c:x val="5.23913282738976E-2"/>
                  <c:y val="0"/>
                </c:manualLayout>
              </c:layout>
              <c:tx>
                <c:rich>
                  <a:bodyPr/>
                  <a:lstStyle/>
                  <a:p>
                    <a:r>
                      <a:rPr lang="en-US"/>
                      <a:t>Nova-Bollinger Discovered</a:t>
                    </a:r>
                  </a:p>
                </c:rich>
              </c:tx>
              <c:dLblPos val="outEnd"/>
              <c:showLegendKey val="0"/>
              <c:showVal val="1"/>
              <c:showCatName val="0"/>
              <c:showSerName val="0"/>
              <c:showPercent val="0"/>
              <c:showBubbleSize val="0"/>
            </c:dLbl>
            <c:dLbl>
              <c:idx val="101"/>
              <c:layout>
                <c:manualLayout>
                  <c:x val="4.0529140740184932E-2"/>
                  <c:y val="-7.2321120235576027E-3"/>
                </c:manualLayout>
              </c:layout>
              <c:tx>
                <c:rich>
                  <a:bodyPr/>
                  <a:lstStyle/>
                  <a:p>
                    <a:r>
                      <a:rPr lang="en-US"/>
                      <a:t>Gruyere Discovered</a:t>
                    </a:r>
                  </a:p>
                </c:rich>
              </c:tx>
              <c:dLblPos val="outEnd"/>
              <c:showLegendKey val="0"/>
              <c:showVal val="1"/>
              <c:showCatName val="0"/>
              <c:showSerName val="0"/>
              <c:showPercent val="0"/>
              <c:showBubbleSize val="0"/>
            </c:dLbl>
            <c:spPr>
              <a:solidFill>
                <a:schemeClr val="lt1"/>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en-US"/>
              </a:p>
            </c:txPr>
            <c:showLegendKey val="0"/>
            <c:showVal val="0"/>
            <c:showCatName val="0"/>
            <c:showSerName val="0"/>
            <c:showPercent val="0"/>
            <c:showBubbleSize val="0"/>
          </c:dLbls>
          <c:cat>
            <c:numRef>
              <c:f>'Mineral Exploration'!$B$9:$B$150</c:f>
              <c:numCache>
                <c:formatCode>mmm\-yyyy</c:formatCode>
                <c:ptCount val="142"/>
                <c:pt idx="0">
                  <c:v>32752</c:v>
                </c:pt>
                <c:pt idx="1">
                  <c:v>32478</c:v>
                </c:pt>
                <c:pt idx="2">
                  <c:v>32568</c:v>
                </c:pt>
                <c:pt idx="3">
                  <c:v>32660</c:v>
                </c:pt>
                <c:pt idx="4">
                  <c:v>32752</c:v>
                </c:pt>
                <c:pt idx="5">
                  <c:v>32843</c:v>
                </c:pt>
                <c:pt idx="6">
                  <c:v>32933</c:v>
                </c:pt>
                <c:pt idx="7">
                  <c:v>33025</c:v>
                </c:pt>
                <c:pt idx="8">
                  <c:v>33117</c:v>
                </c:pt>
                <c:pt idx="9">
                  <c:v>33208</c:v>
                </c:pt>
                <c:pt idx="10">
                  <c:v>33298</c:v>
                </c:pt>
                <c:pt idx="11">
                  <c:v>33390</c:v>
                </c:pt>
                <c:pt idx="12">
                  <c:v>33482</c:v>
                </c:pt>
                <c:pt idx="13">
                  <c:v>33573</c:v>
                </c:pt>
                <c:pt idx="14">
                  <c:v>33664</c:v>
                </c:pt>
                <c:pt idx="15">
                  <c:v>33756</c:v>
                </c:pt>
                <c:pt idx="16">
                  <c:v>33848</c:v>
                </c:pt>
                <c:pt idx="17">
                  <c:v>33939</c:v>
                </c:pt>
                <c:pt idx="18">
                  <c:v>34029</c:v>
                </c:pt>
                <c:pt idx="19">
                  <c:v>34121</c:v>
                </c:pt>
                <c:pt idx="20">
                  <c:v>34213</c:v>
                </c:pt>
                <c:pt idx="21">
                  <c:v>34304</c:v>
                </c:pt>
                <c:pt idx="22">
                  <c:v>34394</c:v>
                </c:pt>
                <c:pt idx="23">
                  <c:v>34486</c:v>
                </c:pt>
                <c:pt idx="24">
                  <c:v>34578</c:v>
                </c:pt>
                <c:pt idx="25">
                  <c:v>34669</c:v>
                </c:pt>
                <c:pt idx="26">
                  <c:v>34759</c:v>
                </c:pt>
                <c:pt idx="27">
                  <c:v>34851</c:v>
                </c:pt>
                <c:pt idx="28">
                  <c:v>34943</c:v>
                </c:pt>
                <c:pt idx="29">
                  <c:v>35034</c:v>
                </c:pt>
                <c:pt idx="30">
                  <c:v>35125</c:v>
                </c:pt>
                <c:pt idx="31">
                  <c:v>35217</c:v>
                </c:pt>
                <c:pt idx="32">
                  <c:v>35309</c:v>
                </c:pt>
                <c:pt idx="33">
                  <c:v>35400</c:v>
                </c:pt>
                <c:pt idx="34">
                  <c:v>35490</c:v>
                </c:pt>
                <c:pt idx="35">
                  <c:v>35582</c:v>
                </c:pt>
                <c:pt idx="36">
                  <c:v>35674</c:v>
                </c:pt>
                <c:pt idx="37">
                  <c:v>35765</c:v>
                </c:pt>
                <c:pt idx="38">
                  <c:v>35855</c:v>
                </c:pt>
                <c:pt idx="39">
                  <c:v>35947</c:v>
                </c:pt>
                <c:pt idx="40">
                  <c:v>36039</c:v>
                </c:pt>
                <c:pt idx="41">
                  <c:v>36130</c:v>
                </c:pt>
                <c:pt idx="42">
                  <c:v>36220</c:v>
                </c:pt>
                <c:pt idx="43">
                  <c:v>36312</c:v>
                </c:pt>
                <c:pt idx="44">
                  <c:v>36404</c:v>
                </c:pt>
                <c:pt idx="45">
                  <c:v>36495</c:v>
                </c:pt>
                <c:pt idx="46">
                  <c:v>36586</c:v>
                </c:pt>
                <c:pt idx="47">
                  <c:v>36678</c:v>
                </c:pt>
                <c:pt idx="48">
                  <c:v>36770</c:v>
                </c:pt>
                <c:pt idx="49">
                  <c:v>36861</c:v>
                </c:pt>
                <c:pt idx="50">
                  <c:v>36951</c:v>
                </c:pt>
                <c:pt idx="51">
                  <c:v>37043</c:v>
                </c:pt>
                <c:pt idx="52">
                  <c:v>37135</c:v>
                </c:pt>
                <c:pt idx="53">
                  <c:v>37226</c:v>
                </c:pt>
                <c:pt idx="54">
                  <c:v>37316</c:v>
                </c:pt>
                <c:pt idx="55">
                  <c:v>37408</c:v>
                </c:pt>
                <c:pt idx="56">
                  <c:v>37500</c:v>
                </c:pt>
                <c:pt idx="57">
                  <c:v>37591</c:v>
                </c:pt>
                <c:pt idx="58">
                  <c:v>37681</c:v>
                </c:pt>
                <c:pt idx="59">
                  <c:v>37773</c:v>
                </c:pt>
                <c:pt idx="60">
                  <c:v>37865</c:v>
                </c:pt>
                <c:pt idx="61">
                  <c:v>37956</c:v>
                </c:pt>
                <c:pt idx="62">
                  <c:v>38047</c:v>
                </c:pt>
                <c:pt idx="63">
                  <c:v>38139</c:v>
                </c:pt>
                <c:pt idx="64">
                  <c:v>38231</c:v>
                </c:pt>
                <c:pt idx="65">
                  <c:v>38322</c:v>
                </c:pt>
                <c:pt idx="66">
                  <c:v>38412</c:v>
                </c:pt>
                <c:pt idx="67">
                  <c:v>38504</c:v>
                </c:pt>
                <c:pt idx="68">
                  <c:v>38596</c:v>
                </c:pt>
                <c:pt idx="69">
                  <c:v>38687</c:v>
                </c:pt>
                <c:pt idx="70">
                  <c:v>38777</c:v>
                </c:pt>
                <c:pt idx="71">
                  <c:v>38869</c:v>
                </c:pt>
                <c:pt idx="72">
                  <c:v>38961</c:v>
                </c:pt>
                <c:pt idx="73">
                  <c:v>39052</c:v>
                </c:pt>
                <c:pt idx="74">
                  <c:v>39142</c:v>
                </c:pt>
                <c:pt idx="75">
                  <c:v>39234</c:v>
                </c:pt>
                <c:pt idx="76">
                  <c:v>39326</c:v>
                </c:pt>
                <c:pt idx="77">
                  <c:v>39417</c:v>
                </c:pt>
                <c:pt idx="78">
                  <c:v>39508</c:v>
                </c:pt>
                <c:pt idx="79">
                  <c:v>39600</c:v>
                </c:pt>
                <c:pt idx="80">
                  <c:v>39692</c:v>
                </c:pt>
                <c:pt idx="81">
                  <c:v>39783</c:v>
                </c:pt>
                <c:pt idx="82">
                  <c:v>39873</c:v>
                </c:pt>
                <c:pt idx="83">
                  <c:v>39965</c:v>
                </c:pt>
                <c:pt idx="84">
                  <c:v>40057</c:v>
                </c:pt>
                <c:pt idx="85">
                  <c:v>40148</c:v>
                </c:pt>
                <c:pt idx="86">
                  <c:v>40238</c:v>
                </c:pt>
                <c:pt idx="87">
                  <c:v>40330</c:v>
                </c:pt>
                <c:pt idx="88">
                  <c:v>40422</c:v>
                </c:pt>
                <c:pt idx="89">
                  <c:v>40513</c:v>
                </c:pt>
                <c:pt idx="90">
                  <c:v>40603</c:v>
                </c:pt>
                <c:pt idx="91">
                  <c:v>40695</c:v>
                </c:pt>
                <c:pt idx="92">
                  <c:v>40787</c:v>
                </c:pt>
                <c:pt idx="93">
                  <c:v>40878</c:v>
                </c:pt>
                <c:pt idx="94">
                  <c:v>40969</c:v>
                </c:pt>
                <c:pt idx="95">
                  <c:v>41061</c:v>
                </c:pt>
                <c:pt idx="96">
                  <c:v>41153</c:v>
                </c:pt>
                <c:pt idx="97">
                  <c:v>41244</c:v>
                </c:pt>
                <c:pt idx="98">
                  <c:v>41334</c:v>
                </c:pt>
                <c:pt idx="99">
                  <c:v>41426</c:v>
                </c:pt>
                <c:pt idx="100">
                  <c:v>41518</c:v>
                </c:pt>
                <c:pt idx="101">
                  <c:v>41609</c:v>
                </c:pt>
                <c:pt idx="102">
                  <c:v>41699</c:v>
                </c:pt>
                <c:pt idx="103">
                  <c:v>41791</c:v>
                </c:pt>
                <c:pt idx="104">
                  <c:v>41883</c:v>
                </c:pt>
                <c:pt idx="105">
                  <c:v>41974</c:v>
                </c:pt>
                <c:pt idx="106">
                  <c:v>42064</c:v>
                </c:pt>
                <c:pt idx="107">
                  <c:v>42156</c:v>
                </c:pt>
                <c:pt idx="108">
                  <c:v>42248</c:v>
                </c:pt>
                <c:pt idx="109">
                  <c:v>42339</c:v>
                </c:pt>
                <c:pt idx="110">
                  <c:v>42430</c:v>
                </c:pt>
                <c:pt idx="111">
                  <c:v>42522</c:v>
                </c:pt>
                <c:pt idx="112">
                  <c:v>42614</c:v>
                </c:pt>
                <c:pt idx="113">
                  <c:v>42705</c:v>
                </c:pt>
              </c:numCache>
            </c:numRef>
          </c:cat>
          <c:val>
            <c:numRef>
              <c:f>'Mineral Exploration'!$G$9:$G$150</c:f>
              <c:numCache>
                <c:formatCode>General</c:formatCode>
                <c:ptCount val="142"/>
                <c:pt idx="0">
                  <c:v>104.7</c:v>
                </c:pt>
                <c:pt idx="1">
                  <c:v>106.3</c:v>
                </c:pt>
                <c:pt idx="2">
                  <c:v>84.2</c:v>
                </c:pt>
                <c:pt idx="3">
                  <c:v>92</c:v>
                </c:pt>
                <c:pt idx="4">
                  <c:v>78.900000000000006</c:v>
                </c:pt>
                <c:pt idx="5">
                  <c:v>80.900000000000006</c:v>
                </c:pt>
                <c:pt idx="6">
                  <c:v>67.3</c:v>
                </c:pt>
                <c:pt idx="7">
                  <c:v>88.3</c:v>
                </c:pt>
                <c:pt idx="8">
                  <c:v>78.8</c:v>
                </c:pt>
                <c:pt idx="9">
                  <c:v>84.2</c:v>
                </c:pt>
                <c:pt idx="10">
                  <c:v>68</c:v>
                </c:pt>
                <c:pt idx="11">
                  <c:v>93.8</c:v>
                </c:pt>
                <c:pt idx="12">
                  <c:v>87.9</c:v>
                </c:pt>
                <c:pt idx="13">
                  <c:v>88.1</c:v>
                </c:pt>
                <c:pt idx="14">
                  <c:v>69.3</c:v>
                </c:pt>
                <c:pt idx="15">
                  <c:v>87.4</c:v>
                </c:pt>
                <c:pt idx="16">
                  <c:v>86.5</c:v>
                </c:pt>
                <c:pt idx="17">
                  <c:v>91.6</c:v>
                </c:pt>
                <c:pt idx="18">
                  <c:v>74.2</c:v>
                </c:pt>
                <c:pt idx="19">
                  <c:v>95.8</c:v>
                </c:pt>
                <c:pt idx="20">
                  <c:v>110.4</c:v>
                </c:pt>
                <c:pt idx="21">
                  <c:v>119</c:v>
                </c:pt>
                <c:pt idx="22">
                  <c:v>100.9</c:v>
                </c:pt>
                <c:pt idx="23">
                  <c:v>123.4</c:v>
                </c:pt>
                <c:pt idx="24">
                  <c:v>127.5</c:v>
                </c:pt>
                <c:pt idx="25">
                  <c:v>126.4</c:v>
                </c:pt>
                <c:pt idx="26">
                  <c:v>106.3</c:v>
                </c:pt>
                <c:pt idx="27">
                  <c:v>135.30000000000001</c:v>
                </c:pt>
                <c:pt idx="28">
                  <c:v>125</c:v>
                </c:pt>
                <c:pt idx="29">
                  <c:v>128.9</c:v>
                </c:pt>
                <c:pt idx="30">
                  <c:v>118.6</c:v>
                </c:pt>
                <c:pt idx="31">
                  <c:v>147</c:v>
                </c:pt>
                <c:pt idx="32">
                  <c:v>162.80000000000001</c:v>
                </c:pt>
                <c:pt idx="33">
                  <c:v>173.1</c:v>
                </c:pt>
                <c:pt idx="34">
                  <c:v>144.19999999999999</c:v>
                </c:pt>
                <c:pt idx="35">
                  <c:v>211.6</c:v>
                </c:pt>
                <c:pt idx="36">
                  <c:v>182.7</c:v>
                </c:pt>
                <c:pt idx="37">
                  <c:v>162.30000000000001</c:v>
                </c:pt>
                <c:pt idx="38">
                  <c:v>142</c:v>
                </c:pt>
                <c:pt idx="39">
                  <c:v>173.4</c:v>
                </c:pt>
                <c:pt idx="40">
                  <c:v>154.1</c:v>
                </c:pt>
                <c:pt idx="41">
                  <c:v>157.30000000000001</c:v>
                </c:pt>
                <c:pt idx="42">
                  <c:v>102.3</c:v>
                </c:pt>
                <c:pt idx="43">
                  <c:v>109.4</c:v>
                </c:pt>
                <c:pt idx="44">
                  <c:v>107.9</c:v>
                </c:pt>
                <c:pt idx="45">
                  <c:v>108.8</c:v>
                </c:pt>
                <c:pt idx="46">
                  <c:v>85</c:v>
                </c:pt>
                <c:pt idx="47">
                  <c:v>113.3</c:v>
                </c:pt>
                <c:pt idx="48">
                  <c:v>104.4</c:v>
                </c:pt>
                <c:pt idx="49">
                  <c:v>118</c:v>
                </c:pt>
                <c:pt idx="50">
                  <c:v>90.8</c:v>
                </c:pt>
                <c:pt idx="51">
                  <c:v>110.9</c:v>
                </c:pt>
                <c:pt idx="52">
                  <c:v>103.3</c:v>
                </c:pt>
                <c:pt idx="53">
                  <c:v>103.5</c:v>
                </c:pt>
                <c:pt idx="54">
                  <c:v>82.5</c:v>
                </c:pt>
                <c:pt idx="55">
                  <c:v>91.8</c:v>
                </c:pt>
                <c:pt idx="56">
                  <c:v>110.1</c:v>
                </c:pt>
                <c:pt idx="57">
                  <c:v>111.1</c:v>
                </c:pt>
                <c:pt idx="58">
                  <c:v>90.8</c:v>
                </c:pt>
                <c:pt idx="59">
                  <c:v>111.6</c:v>
                </c:pt>
                <c:pt idx="60">
                  <c:v>108.5</c:v>
                </c:pt>
                <c:pt idx="61">
                  <c:v>122</c:v>
                </c:pt>
                <c:pt idx="62">
                  <c:v>96.5</c:v>
                </c:pt>
                <c:pt idx="63">
                  <c:v>138.80000000000001</c:v>
                </c:pt>
                <c:pt idx="64">
                  <c:v>147.9</c:v>
                </c:pt>
                <c:pt idx="65">
                  <c:v>156.69999999999999</c:v>
                </c:pt>
                <c:pt idx="66">
                  <c:v>134.4</c:v>
                </c:pt>
                <c:pt idx="67">
                  <c:v>167</c:v>
                </c:pt>
                <c:pt idx="68">
                  <c:v>154.4</c:v>
                </c:pt>
                <c:pt idx="69">
                  <c:v>158</c:v>
                </c:pt>
                <c:pt idx="70">
                  <c:v>121.5</c:v>
                </c:pt>
                <c:pt idx="71">
                  <c:v>156.30000000000001</c:v>
                </c:pt>
                <c:pt idx="72">
                  <c:v>190.2</c:v>
                </c:pt>
                <c:pt idx="73">
                  <c:v>217.3</c:v>
                </c:pt>
                <c:pt idx="74">
                  <c:v>179.9</c:v>
                </c:pt>
                <c:pt idx="75">
                  <c:v>251.8</c:v>
                </c:pt>
                <c:pt idx="76">
                  <c:v>293.3</c:v>
                </c:pt>
                <c:pt idx="77">
                  <c:v>313.8</c:v>
                </c:pt>
                <c:pt idx="78">
                  <c:v>271.39999999999998</c:v>
                </c:pt>
                <c:pt idx="79">
                  <c:v>381.2</c:v>
                </c:pt>
                <c:pt idx="80">
                  <c:v>383.8</c:v>
                </c:pt>
                <c:pt idx="81">
                  <c:v>364</c:v>
                </c:pt>
                <c:pt idx="82">
                  <c:v>224.2</c:v>
                </c:pt>
                <c:pt idx="83">
                  <c:v>274.8</c:v>
                </c:pt>
                <c:pt idx="84">
                  <c:v>298.89999999999998</c:v>
                </c:pt>
                <c:pt idx="85">
                  <c:v>321.7</c:v>
                </c:pt>
                <c:pt idx="86">
                  <c:v>257.10000000000002</c:v>
                </c:pt>
                <c:pt idx="87">
                  <c:v>366.3</c:v>
                </c:pt>
                <c:pt idx="88">
                  <c:v>384.6</c:v>
                </c:pt>
                <c:pt idx="89">
                  <c:v>393.7</c:v>
                </c:pt>
                <c:pt idx="90">
                  <c:v>362.2</c:v>
                </c:pt>
                <c:pt idx="91">
                  <c:v>449.6</c:v>
                </c:pt>
                <c:pt idx="92">
                  <c:v>481.6</c:v>
                </c:pt>
                <c:pt idx="93">
                  <c:v>531.9</c:v>
                </c:pt>
                <c:pt idx="94">
                  <c:v>490.1</c:v>
                </c:pt>
                <c:pt idx="95">
                  <c:v>603.20000000000005</c:v>
                </c:pt>
                <c:pt idx="96">
                  <c:v>488.6</c:v>
                </c:pt>
                <c:pt idx="97">
                  <c:v>470.7</c:v>
                </c:pt>
                <c:pt idx="98">
                  <c:v>421.8</c:v>
                </c:pt>
                <c:pt idx="99">
                  <c:v>382.3</c:v>
                </c:pt>
                <c:pt idx="100">
                  <c:v>395.8</c:v>
                </c:pt>
                <c:pt idx="101">
                  <c:v>308.3</c:v>
                </c:pt>
                <c:pt idx="102">
                  <c:v>206.2</c:v>
                </c:pt>
                <c:pt idx="103">
                  <c:v>309.7</c:v>
                </c:pt>
                <c:pt idx="104">
                  <c:v>267.10000000000002</c:v>
                </c:pt>
                <c:pt idx="105">
                  <c:v>262.3</c:v>
                </c:pt>
                <c:pt idx="106">
                  <c:v>183.2</c:v>
                </c:pt>
                <c:pt idx="107">
                  <c:v>204.8</c:v>
                </c:pt>
                <c:pt idx="108">
                  <c:v>233.1</c:v>
                </c:pt>
                <c:pt idx="109">
                  <c:v>222.6</c:v>
                </c:pt>
                <c:pt idx="110">
                  <c:v>187.1</c:v>
                </c:pt>
                <c:pt idx="111">
                  <c:v>228.2</c:v>
                </c:pt>
                <c:pt idx="112">
                  <c:v>248.8</c:v>
                </c:pt>
                <c:pt idx="113">
                  <c:v>263.5</c:v>
                </c:pt>
              </c:numCache>
            </c:numRef>
          </c:val>
        </c:ser>
        <c:dLbls>
          <c:showLegendKey val="0"/>
          <c:showVal val="0"/>
          <c:showCatName val="0"/>
          <c:showSerName val="0"/>
          <c:showPercent val="0"/>
          <c:showBubbleSize val="0"/>
        </c:dLbls>
        <c:gapWidth val="20"/>
        <c:axId val="94413568"/>
        <c:axId val="94415104"/>
      </c:barChart>
      <c:lineChart>
        <c:grouping val="standard"/>
        <c:varyColors val="0"/>
        <c:ser>
          <c:idx val="1"/>
          <c:order val="1"/>
          <c:tx>
            <c:v>WA's % of Australian Mineral Exploration Spend</c:v>
          </c:tx>
          <c:marker>
            <c:symbol val="none"/>
          </c:marker>
          <c:val>
            <c:numRef>
              <c:f>'Mineral Exploration'!$L$9:$L$150</c:f>
              <c:numCache>
                <c:formatCode>0.0%</c:formatCode>
                <c:ptCount val="142"/>
                <c:pt idx="0">
                  <c:v>0.57559098405717424</c:v>
                </c:pt>
                <c:pt idx="1">
                  <c:v>0.54484879548949261</c:v>
                </c:pt>
                <c:pt idx="2">
                  <c:v>0.55984042553191493</c:v>
                </c:pt>
                <c:pt idx="3">
                  <c:v>0.54054054054054057</c:v>
                </c:pt>
                <c:pt idx="4">
                  <c:v>0.52320954907161799</c:v>
                </c:pt>
                <c:pt idx="5">
                  <c:v>0.49000605693519084</c:v>
                </c:pt>
                <c:pt idx="6">
                  <c:v>0.5196911196911197</c:v>
                </c:pt>
                <c:pt idx="7">
                  <c:v>0.54472547809993832</c:v>
                </c:pt>
                <c:pt idx="8">
                  <c:v>0.54836464857341682</c:v>
                </c:pt>
                <c:pt idx="9">
                  <c:v>0.50479616306954433</c:v>
                </c:pt>
                <c:pt idx="10">
                  <c:v>0.53712480252764616</c:v>
                </c:pt>
                <c:pt idx="11">
                  <c:v>0.56986634264884573</c:v>
                </c:pt>
                <c:pt idx="12">
                  <c:v>0.57301173402868322</c:v>
                </c:pt>
                <c:pt idx="13">
                  <c:v>0.53654080389768577</c:v>
                </c:pt>
                <c:pt idx="14">
                  <c:v>0.55307262569832405</c:v>
                </c:pt>
                <c:pt idx="15">
                  <c:v>0.54285714285714293</c:v>
                </c:pt>
                <c:pt idx="16">
                  <c:v>0.53760099440646358</c:v>
                </c:pt>
                <c:pt idx="17">
                  <c:v>0.52462772050400919</c:v>
                </c:pt>
                <c:pt idx="18">
                  <c:v>0.60325203252032522</c:v>
                </c:pt>
                <c:pt idx="19">
                  <c:v>0.55279861511829198</c:v>
                </c:pt>
                <c:pt idx="20">
                  <c:v>0.58879999999999999</c:v>
                </c:pt>
                <c:pt idx="21">
                  <c:v>0.5696505505026328</c:v>
                </c:pt>
                <c:pt idx="22">
                  <c:v>0.57460136674259688</c:v>
                </c:pt>
                <c:pt idx="23">
                  <c:v>0.55938349954669087</c:v>
                </c:pt>
                <c:pt idx="24">
                  <c:v>0.56390977443609025</c:v>
                </c:pt>
                <c:pt idx="25">
                  <c:v>0.54435831180017236</c:v>
                </c:pt>
                <c:pt idx="26">
                  <c:v>0.55859169732002101</c:v>
                </c:pt>
                <c:pt idx="27">
                  <c:v>0.55314799672935411</c:v>
                </c:pt>
                <c:pt idx="28">
                  <c:v>0.55041831792162044</c:v>
                </c:pt>
                <c:pt idx="29">
                  <c:v>0.56214566070649807</c:v>
                </c:pt>
                <c:pt idx="30">
                  <c:v>0.54155251141552507</c:v>
                </c:pt>
                <c:pt idx="31">
                  <c:v>0.51597051597051602</c:v>
                </c:pt>
                <c:pt idx="32">
                  <c:v>0.5937272064186726</c:v>
                </c:pt>
                <c:pt idx="33">
                  <c:v>0.59362139917695467</c:v>
                </c:pt>
                <c:pt idx="34">
                  <c:v>0.61205432937181659</c:v>
                </c:pt>
                <c:pt idx="35">
                  <c:v>0.60944700460829493</c:v>
                </c:pt>
                <c:pt idx="36">
                  <c:v>0.60536779324055656</c:v>
                </c:pt>
                <c:pt idx="37">
                  <c:v>0.5755319148936171</c:v>
                </c:pt>
                <c:pt idx="38">
                  <c:v>0.64428312159709622</c:v>
                </c:pt>
                <c:pt idx="39">
                  <c:v>0.66031987814166027</c:v>
                </c:pt>
                <c:pt idx="40">
                  <c:v>0.65324289953370063</c:v>
                </c:pt>
                <c:pt idx="41">
                  <c:v>0.65651085141903176</c:v>
                </c:pt>
                <c:pt idx="42">
                  <c:v>0.61147638971906748</c:v>
                </c:pt>
                <c:pt idx="43">
                  <c:v>0.56102564102564101</c:v>
                </c:pt>
                <c:pt idx="44">
                  <c:v>0.59911160466407554</c:v>
                </c:pt>
                <c:pt idx="45">
                  <c:v>0.61503674392312035</c:v>
                </c:pt>
                <c:pt idx="46">
                  <c:v>0.62179956108266277</c:v>
                </c:pt>
                <c:pt idx="47">
                  <c:v>0.62014230979748219</c:v>
                </c:pt>
                <c:pt idx="48">
                  <c:v>0.61484098939929333</c:v>
                </c:pt>
                <c:pt idx="49">
                  <c:v>0.63034188034188043</c:v>
                </c:pt>
                <c:pt idx="50">
                  <c:v>0.63275261324041809</c:v>
                </c:pt>
                <c:pt idx="51">
                  <c:v>0.60667396061269141</c:v>
                </c:pt>
                <c:pt idx="52">
                  <c:v>0.61708482676224607</c:v>
                </c:pt>
                <c:pt idx="53">
                  <c:v>0.60632688927943768</c:v>
                </c:pt>
                <c:pt idx="54">
                  <c:v>0.61475409836065575</c:v>
                </c:pt>
                <c:pt idx="55">
                  <c:v>0.54545454545454541</c:v>
                </c:pt>
                <c:pt idx="56">
                  <c:v>0.60196828868233998</c:v>
                </c:pt>
                <c:pt idx="57">
                  <c:v>0.57624481327800825</c:v>
                </c:pt>
                <c:pt idx="58">
                  <c:v>0.59191655801825294</c:v>
                </c:pt>
                <c:pt idx="59">
                  <c:v>0.54786450662739328</c:v>
                </c:pt>
                <c:pt idx="60">
                  <c:v>0.60378408458542021</c:v>
                </c:pt>
                <c:pt idx="61">
                  <c:v>0.61152882205513781</c:v>
                </c:pt>
                <c:pt idx="62">
                  <c:v>0.57680812910938428</c:v>
                </c:pt>
                <c:pt idx="63">
                  <c:v>0.57785179017485433</c:v>
                </c:pt>
                <c:pt idx="64">
                  <c:v>0.58900836320191163</c:v>
                </c:pt>
                <c:pt idx="65">
                  <c:v>0.60084355828220848</c:v>
                </c:pt>
                <c:pt idx="66">
                  <c:v>0.59521700620017715</c:v>
                </c:pt>
                <c:pt idx="67">
                  <c:v>0.57447540419676646</c:v>
                </c:pt>
                <c:pt idx="68">
                  <c:v>0.52876712328767128</c:v>
                </c:pt>
                <c:pt idx="69">
                  <c:v>0.48229548229548225</c:v>
                </c:pt>
                <c:pt idx="70">
                  <c:v>0.46075085324232085</c:v>
                </c:pt>
                <c:pt idx="71">
                  <c:v>0.43732512590934536</c:v>
                </c:pt>
                <c:pt idx="72">
                  <c:v>0.48200709579320827</c:v>
                </c:pt>
                <c:pt idx="73">
                  <c:v>0.48482820169567159</c:v>
                </c:pt>
                <c:pt idx="74">
                  <c:v>0.48713782832385594</c:v>
                </c:pt>
                <c:pt idx="75">
                  <c:v>0.50109452736318405</c:v>
                </c:pt>
                <c:pt idx="76">
                  <c:v>0.52058927937522192</c:v>
                </c:pt>
                <c:pt idx="77">
                  <c:v>0.50135804441604093</c:v>
                </c:pt>
                <c:pt idx="78">
                  <c:v>0.49889705882352936</c:v>
                </c:pt>
                <c:pt idx="79">
                  <c:v>0.52355445680538382</c:v>
                </c:pt>
                <c:pt idx="80">
                  <c:v>0.55809219136251276</c:v>
                </c:pt>
                <c:pt idx="81">
                  <c:v>0.56129529683885893</c:v>
                </c:pt>
                <c:pt idx="82">
                  <c:v>0.55563816604708793</c:v>
                </c:pt>
                <c:pt idx="83">
                  <c:v>0.56835573940020689</c:v>
                </c:pt>
                <c:pt idx="84">
                  <c:v>0.5362396842482956</c:v>
                </c:pt>
                <c:pt idx="85">
                  <c:v>0.55580511402902555</c:v>
                </c:pt>
                <c:pt idx="86">
                  <c:v>0.5597648595689092</c:v>
                </c:pt>
                <c:pt idx="87">
                  <c:v>0.57494898760006274</c:v>
                </c:pt>
                <c:pt idx="88">
                  <c:v>0.57454436809082765</c:v>
                </c:pt>
                <c:pt idx="89">
                  <c:v>0.54348426283821094</c:v>
                </c:pt>
                <c:pt idx="90">
                  <c:v>0.55714505460698349</c:v>
                </c:pt>
                <c:pt idx="91">
                  <c:v>0.49548159576812878</c:v>
                </c:pt>
                <c:pt idx="92">
                  <c:v>0.48972950986373809</c:v>
                </c:pt>
                <c:pt idx="93">
                  <c:v>0.51520728399845017</c:v>
                </c:pt>
                <c:pt idx="94">
                  <c:v>0.55941102613856863</c:v>
                </c:pt>
                <c:pt idx="95">
                  <c:v>0.56846668551503166</c:v>
                </c:pt>
                <c:pt idx="96">
                  <c:v>0.54610483961104284</c:v>
                </c:pt>
                <c:pt idx="97">
                  <c:v>0.5713071974754218</c:v>
                </c:pt>
                <c:pt idx="98">
                  <c:v>0.6274918179113359</c:v>
                </c:pt>
                <c:pt idx="99">
                  <c:v>0.575233222991273</c:v>
                </c:pt>
                <c:pt idx="100">
                  <c:v>0.6199874686716792</c:v>
                </c:pt>
                <c:pt idx="101">
                  <c:v>0.56320789185239317</c:v>
                </c:pt>
                <c:pt idx="102">
                  <c:v>0.50539215686274508</c:v>
                </c:pt>
                <c:pt idx="103">
                  <c:v>0.6013592233009708</c:v>
                </c:pt>
                <c:pt idx="104">
                  <c:v>0.58357002403320957</c:v>
                </c:pt>
                <c:pt idx="105">
                  <c:v>0.57121080139372826</c:v>
                </c:pt>
                <c:pt idx="106">
                  <c:v>0.57664463330185711</c:v>
                </c:pt>
                <c:pt idx="107">
                  <c:v>0.59517582098227262</c:v>
                </c:pt>
                <c:pt idx="108">
                  <c:v>0.59162436548223352</c:v>
                </c:pt>
                <c:pt idx="109">
                  <c:v>0.58150470219435735</c:v>
                </c:pt>
                <c:pt idx="110">
                  <c:v>0.64428374655647391</c:v>
                </c:pt>
                <c:pt idx="111">
                  <c:v>0.64481491946877645</c:v>
                </c:pt>
                <c:pt idx="112">
                  <c:v>0.65559947299077737</c:v>
                </c:pt>
                <c:pt idx="113">
                  <c:v>0.65368394939221031</c:v>
                </c:pt>
              </c:numCache>
            </c:numRef>
          </c:val>
          <c:smooth val="0"/>
        </c:ser>
        <c:dLbls>
          <c:showLegendKey val="0"/>
          <c:showVal val="0"/>
          <c:showCatName val="0"/>
          <c:showSerName val="0"/>
          <c:showPercent val="0"/>
          <c:showBubbleSize val="0"/>
        </c:dLbls>
        <c:marker val="1"/>
        <c:smooth val="0"/>
        <c:axId val="94435200"/>
        <c:axId val="94433664"/>
      </c:lineChart>
      <c:dateAx>
        <c:axId val="94413568"/>
        <c:scaling>
          <c:orientation val="minMax"/>
          <c:min val="35034"/>
        </c:scaling>
        <c:delete val="0"/>
        <c:axPos val="b"/>
        <c:numFmt formatCode="mmm\-yyyy" sourceLinked="0"/>
        <c:majorTickMark val="out"/>
        <c:minorTickMark val="none"/>
        <c:tickLblPos val="nextTo"/>
        <c:txPr>
          <a:bodyPr rot="-2700000"/>
          <a:lstStyle/>
          <a:p>
            <a:pPr>
              <a:defRPr/>
            </a:pPr>
            <a:endParaRPr lang="en-US"/>
          </a:p>
        </c:txPr>
        <c:crossAx val="94415104"/>
        <c:crosses val="autoZero"/>
        <c:auto val="1"/>
        <c:lblOffset val="100"/>
        <c:baseTimeUnit val="months"/>
        <c:majorUnit val="6"/>
        <c:majorTimeUnit val="months"/>
        <c:minorUnit val="3"/>
        <c:minorTimeUnit val="months"/>
      </c:dateAx>
      <c:valAx>
        <c:axId val="94415104"/>
        <c:scaling>
          <c:orientation val="minMax"/>
        </c:scaling>
        <c:delete val="0"/>
        <c:axPos val="l"/>
        <c:majorGridlines/>
        <c:title>
          <c:tx>
            <c:rich>
              <a:bodyPr rot="-5400000" vert="horz"/>
              <a:lstStyle/>
              <a:p>
                <a:pPr>
                  <a:defRPr/>
                </a:pPr>
                <a:r>
                  <a:rPr lang="en-AU"/>
                  <a:t>A$ (million)</a:t>
                </a:r>
              </a:p>
            </c:rich>
          </c:tx>
          <c:overlay val="0"/>
        </c:title>
        <c:numFmt formatCode="General" sourceLinked="1"/>
        <c:majorTickMark val="out"/>
        <c:minorTickMark val="none"/>
        <c:tickLblPos val="nextTo"/>
        <c:crossAx val="94413568"/>
        <c:crosses val="autoZero"/>
        <c:crossBetween val="between"/>
      </c:valAx>
      <c:valAx>
        <c:axId val="94433664"/>
        <c:scaling>
          <c:orientation val="minMax"/>
        </c:scaling>
        <c:delete val="0"/>
        <c:axPos val="r"/>
        <c:numFmt formatCode="0.0%" sourceLinked="1"/>
        <c:majorTickMark val="out"/>
        <c:minorTickMark val="none"/>
        <c:tickLblPos val="nextTo"/>
        <c:crossAx val="94435200"/>
        <c:crosses val="max"/>
        <c:crossBetween val="between"/>
      </c:valAx>
      <c:catAx>
        <c:axId val="94435200"/>
        <c:scaling>
          <c:orientation val="minMax"/>
        </c:scaling>
        <c:delete val="1"/>
        <c:axPos val="b"/>
        <c:majorTickMark val="out"/>
        <c:minorTickMark val="none"/>
        <c:tickLblPos val="nextTo"/>
        <c:crossAx val="94433664"/>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doughnutChart>
        <c:varyColors val="1"/>
        <c:ser>
          <c:idx val="2"/>
          <c:order val="0"/>
          <c:tx>
            <c:strRef>
              <c:f>'Min. Expl. Major Commodities'!$H$7</c:f>
              <c:strCache>
                <c:ptCount val="1"/>
                <c:pt idx="0">
                  <c:v>Iron Ore</c:v>
                </c:pt>
              </c:strCache>
            </c:strRef>
          </c:tx>
          <c:dPt>
            <c:idx val="1"/>
            <c:bubble3D val="0"/>
          </c:dPt>
          <c:dLbls>
            <c:showLegendKey val="0"/>
            <c:showVal val="0"/>
            <c:showCatName val="1"/>
            <c:showSerName val="0"/>
            <c:showPercent val="1"/>
            <c:showBubbleSize val="0"/>
            <c:showLeaderLines val="1"/>
          </c:dLbls>
          <c:cat>
            <c:strRef>
              <c:f>('Min. Expl. Major Commodities'!$A$12,'Min. Expl. Major Commodities'!$A$16)</c:f>
              <c:strCache>
                <c:ptCount val="2"/>
                <c:pt idx="0">
                  <c:v>WA</c:v>
                </c:pt>
                <c:pt idx="1">
                  <c:v>Rest of Australia</c:v>
                </c:pt>
              </c:strCache>
            </c:strRef>
          </c:cat>
          <c:val>
            <c:numRef>
              <c:f>('Min. Expl. Major Commodities'!$H$12,'Min. Expl. Major Commodities'!$H$16)</c:f>
              <c:numCache>
                <c:formatCode>General</c:formatCode>
                <c:ptCount val="2"/>
                <c:pt idx="0">
                  <c:v>278.60000000000002</c:v>
                </c:pt>
                <c:pt idx="1">
                  <c:v>9.3999999999999773</c:v>
                </c:pt>
              </c:numCache>
            </c:numRef>
          </c:val>
        </c:ser>
        <c:dLbls>
          <c:showLegendKey val="0"/>
          <c:showVal val="0"/>
          <c:showCatName val="0"/>
          <c:showSerName val="0"/>
          <c:showPercent val="0"/>
          <c:showBubbleSize val="0"/>
          <c:showLeaderLines val="1"/>
        </c:dLbls>
        <c:firstSliceAng val="7"/>
        <c:holeSize val="40"/>
      </c:doughnutChart>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3"/>
          <c:order val="0"/>
          <c:tx>
            <c:strRef>
              <c:f>'Min. Expl. Major Commodities'!$D$7</c:f>
              <c:strCache>
                <c:ptCount val="1"/>
                <c:pt idx="0">
                  <c:v>Copper, Lead, Zinc</c:v>
                </c:pt>
              </c:strCache>
            </c:strRef>
          </c:tx>
          <c:spPr>
            <a:solidFill>
              <a:srgbClr val="DC28DC"/>
            </a:solidFill>
          </c:spPr>
          <c:dPt>
            <c:idx val="1"/>
            <c:bubble3D val="0"/>
            <c:spPr>
              <a:solidFill>
                <a:srgbClr val="F1A9F1"/>
              </a:solidFill>
            </c:spPr>
          </c:dPt>
          <c:dLbls>
            <c:showLegendKey val="0"/>
            <c:showVal val="0"/>
            <c:showCatName val="1"/>
            <c:showSerName val="0"/>
            <c:showPercent val="1"/>
            <c:showBubbleSize val="0"/>
            <c:showLeaderLines val="1"/>
          </c:dLbls>
          <c:cat>
            <c:strRef>
              <c:f>('Min. Expl. Major Commodities'!$A$12,'Min. Expl. Major Commodities'!$A$16)</c:f>
              <c:strCache>
                <c:ptCount val="2"/>
                <c:pt idx="0">
                  <c:v>WA</c:v>
                </c:pt>
                <c:pt idx="1">
                  <c:v>Rest of Australia</c:v>
                </c:pt>
              </c:strCache>
            </c:strRef>
          </c:cat>
          <c:val>
            <c:numRef>
              <c:f>('Min. Expl. Major Commodities'!$D$12,'Min. Expl. Major Commodities'!$D$16)</c:f>
              <c:numCache>
                <c:formatCode>General</c:formatCode>
                <c:ptCount val="2"/>
                <c:pt idx="0">
                  <c:v>57.800000000000004</c:v>
                </c:pt>
                <c:pt idx="1">
                  <c:v>127.79999999999997</c:v>
                </c:pt>
              </c:numCache>
            </c:numRef>
          </c:val>
        </c:ser>
        <c:dLbls>
          <c:showLegendKey val="0"/>
          <c:showVal val="0"/>
          <c:showCatName val="0"/>
          <c:showSerName val="0"/>
          <c:showPercent val="0"/>
          <c:showBubbleSize val="0"/>
          <c:showLeaderLines val="1"/>
        </c:dLbls>
        <c:firstSliceAng val="128"/>
        <c:holeSize val="40"/>
      </c:doughnutChart>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doughnutChart>
        <c:varyColors val="1"/>
        <c:ser>
          <c:idx val="0"/>
          <c:order val="0"/>
          <c:tx>
            <c:strRef>
              <c:f>'Min. Expl. Major Commodities'!$E$7</c:f>
              <c:strCache>
                <c:ptCount val="1"/>
                <c:pt idx="0">
                  <c:v>Nickel Cobalt</c:v>
                </c:pt>
              </c:strCache>
            </c:strRef>
          </c:tx>
          <c:dPt>
            <c:idx val="1"/>
            <c:bubble3D val="0"/>
          </c:dPt>
          <c:dLbls>
            <c:showLegendKey val="0"/>
            <c:showVal val="0"/>
            <c:showCatName val="1"/>
            <c:showSerName val="0"/>
            <c:showPercent val="1"/>
            <c:showBubbleSize val="0"/>
            <c:showLeaderLines val="1"/>
          </c:dLbls>
          <c:cat>
            <c:strRef>
              <c:f>('Min. Expl. Major Commodities'!$A$12,'Min. Expl. Major Commodities'!$A$16)</c:f>
              <c:strCache>
                <c:ptCount val="2"/>
                <c:pt idx="0">
                  <c:v>WA</c:v>
                </c:pt>
                <c:pt idx="1">
                  <c:v>Rest of Australia</c:v>
                </c:pt>
              </c:strCache>
            </c:strRef>
          </c:cat>
          <c:val>
            <c:numRef>
              <c:f>('Min. Expl. Major Commodities'!$E$12,'Min. Expl. Major Commodities'!$E$16)</c:f>
              <c:numCache>
                <c:formatCode>General</c:formatCode>
                <c:ptCount val="2"/>
                <c:pt idx="0">
                  <c:v>46.9</c:v>
                </c:pt>
                <c:pt idx="1">
                  <c:v>4.5999999999999943</c:v>
                </c:pt>
              </c:numCache>
            </c:numRef>
          </c:val>
        </c:ser>
        <c:dLbls>
          <c:showLegendKey val="0"/>
          <c:showVal val="0"/>
          <c:showCatName val="0"/>
          <c:showSerName val="0"/>
          <c:showPercent val="0"/>
          <c:showBubbleSize val="0"/>
          <c:showLeaderLines val="1"/>
        </c:dLbls>
        <c:firstSliceAng val="14"/>
        <c:holeSize val="40"/>
      </c:doughnut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a:t>Monthly average exchange rate
</a:t>
            </a:r>
            <a:r>
              <a:rPr lang="en-AU" sz="1100"/>
              <a:t>US$/A$  </a:t>
            </a:r>
          </a:p>
        </c:rich>
      </c:tx>
      <c:overlay val="0"/>
    </c:title>
    <c:autoTitleDeleted val="0"/>
    <c:plotArea>
      <c:layout/>
      <c:lineChart>
        <c:grouping val="standard"/>
        <c:varyColors val="0"/>
        <c:ser>
          <c:idx val="36"/>
          <c:order val="0"/>
          <c:tx>
            <c:strRef>
              <c:f>'US and A$'!$D$5:$E$5</c:f>
              <c:strCache>
                <c:ptCount val="1"/>
                <c:pt idx="0">
                  <c:v>Monthly exchange rates, US$:1A$</c:v>
                </c:pt>
              </c:strCache>
            </c:strRef>
          </c:tx>
          <c:spPr>
            <a:ln>
              <a:solidFill>
                <a:schemeClr val="accent6"/>
              </a:solidFill>
            </a:ln>
          </c:spPr>
          <c:marker>
            <c:symbol val="none"/>
          </c:marker>
          <c:cat>
            <c:numRef>
              <c:f>'US and A$'!$D$8:$D$31</c:f>
              <c:numCache>
                <c:formatCode>mmm\-yy</c:formatCode>
                <c:ptCount val="2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numCache>
            </c:numRef>
          </c:cat>
          <c:val>
            <c:numRef>
              <c:f>'US and A$'!$E$8:$E$31</c:f>
              <c:numCache>
                <c:formatCode>0.0000</c:formatCode>
                <c:ptCount val="24"/>
                <c:pt idx="0">
                  <c:v>0.80600000000000005</c:v>
                </c:pt>
                <c:pt idx="1">
                  <c:v>0.77929999999999999</c:v>
                </c:pt>
                <c:pt idx="2">
                  <c:v>0.77300000000000002</c:v>
                </c:pt>
                <c:pt idx="3">
                  <c:v>0.77349999999999997</c:v>
                </c:pt>
                <c:pt idx="4">
                  <c:v>0.78859999999999997</c:v>
                </c:pt>
                <c:pt idx="5">
                  <c:v>0.77229999999999999</c:v>
                </c:pt>
                <c:pt idx="6">
                  <c:v>0.7409</c:v>
                </c:pt>
                <c:pt idx="7">
                  <c:v>0.72960000000000003</c:v>
                </c:pt>
                <c:pt idx="8">
                  <c:v>0.70550000000000002</c:v>
                </c:pt>
                <c:pt idx="9">
                  <c:v>0.72060000000000002</c:v>
                </c:pt>
                <c:pt idx="10">
                  <c:v>0.71499999999999997</c:v>
                </c:pt>
                <c:pt idx="11">
                  <c:v>0.72519999999999996</c:v>
                </c:pt>
                <c:pt idx="12">
                  <c:v>0.70150000000000001</c:v>
                </c:pt>
                <c:pt idx="13">
                  <c:v>0.71399999999999997</c:v>
                </c:pt>
                <c:pt idx="14">
                  <c:v>0.751</c:v>
                </c:pt>
                <c:pt idx="15">
                  <c:v>0.76629999999999998</c:v>
                </c:pt>
                <c:pt idx="16">
                  <c:v>0.73219999999999996</c:v>
                </c:pt>
                <c:pt idx="17">
                  <c:v>0.74070000000000003</c:v>
                </c:pt>
                <c:pt idx="18">
                  <c:v>0.753</c:v>
                </c:pt>
                <c:pt idx="19">
                  <c:v>0.76229999999999998</c:v>
                </c:pt>
                <c:pt idx="20">
                  <c:v>0.75919999999999999</c:v>
                </c:pt>
                <c:pt idx="21">
                  <c:v>0.76160000000000005</c:v>
                </c:pt>
                <c:pt idx="22">
                  <c:v>0.75290000000000001</c:v>
                </c:pt>
                <c:pt idx="23">
                  <c:v>0.73350000000000004</c:v>
                </c:pt>
              </c:numCache>
            </c:numRef>
          </c:val>
          <c:smooth val="0"/>
        </c:ser>
        <c:dLbls>
          <c:showLegendKey val="0"/>
          <c:showVal val="0"/>
          <c:showCatName val="0"/>
          <c:showSerName val="0"/>
          <c:showPercent val="0"/>
          <c:showBubbleSize val="0"/>
        </c:dLbls>
        <c:marker val="1"/>
        <c:smooth val="0"/>
        <c:axId val="141387264"/>
        <c:axId val="141389184"/>
      </c:lineChart>
      <c:dateAx>
        <c:axId val="141387264"/>
        <c:scaling>
          <c:orientation val="minMax"/>
        </c:scaling>
        <c:delete val="0"/>
        <c:axPos val="b"/>
        <c:title>
          <c:tx>
            <c:rich>
              <a:bodyPr/>
              <a:lstStyle/>
              <a:p>
                <a:pPr>
                  <a:defRPr/>
                </a:pPr>
                <a:r>
                  <a:rPr lang="en-AU"/>
                  <a:t>Source: Reserve Bank</a:t>
                </a:r>
                <a:r>
                  <a:rPr lang="en-AU" baseline="0"/>
                  <a:t> of Australia</a:t>
                </a:r>
              </a:p>
            </c:rich>
          </c:tx>
          <c:layout>
            <c:manualLayout>
              <c:xMode val="edge"/>
              <c:yMode val="edge"/>
              <c:x val="8.9724567561584923E-2"/>
              <c:y val="0.91708577955994708"/>
            </c:manualLayout>
          </c:layout>
          <c:overlay val="0"/>
        </c:title>
        <c:numFmt formatCode="mmm\-yy" sourceLinked="0"/>
        <c:majorTickMark val="none"/>
        <c:minorTickMark val="none"/>
        <c:tickLblPos val="nextTo"/>
        <c:txPr>
          <a:bodyPr rot="-2700000" vert="horz"/>
          <a:lstStyle/>
          <a:p>
            <a:pPr>
              <a:defRPr/>
            </a:pPr>
            <a:endParaRPr lang="en-US"/>
          </a:p>
        </c:txPr>
        <c:crossAx val="141389184"/>
        <c:crosses val="autoZero"/>
        <c:auto val="0"/>
        <c:lblOffset val="100"/>
        <c:baseTimeUnit val="months"/>
        <c:majorUnit val="1"/>
        <c:majorTimeUnit val="months"/>
      </c:dateAx>
      <c:valAx>
        <c:axId val="141389184"/>
        <c:scaling>
          <c:orientation val="minMax"/>
          <c:min val="0.60000000000000009"/>
        </c:scaling>
        <c:delete val="0"/>
        <c:axPos val="l"/>
        <c:majorGridlines/>
        <c:title>
          <c:tx>
            <c:rich>
              <a:bodyPr/>
              <a:lstStyle/>
              <a:p>
                <a:pPr>
                  <a:defRPr/>
                </a:pPr>
                <a:r>
                  <a:rPr lang="en-AU"/>
                  <a:t>US$:1A$</a:t>
                </a:r>
              </a:p>
            </c:rich>
          </c:tx>
          <c:overlay val="0"/>
        </c:title>
        <c:numFmt formatCode="0.00" sourceLinked="0"/>
        <c:majorTickMark val="none"/>
        <c:minorTickMark val="none"/>
        <c:tickLblPos val="nextTo"/>
        <c:txPr>
          <a:bodyPr rot="0" vert="horz"/>
          <a:lstStyle/>
          <a:p>
            <a:pPr>
              <a:defRPr/>
            </a:pPr>
            <a:endParaRPr lang="en-US"/>
          </a:p>
        </c:txPr>
        <c:crossAx val="141387264"/>
        <c:crosses val="autoZero"/>
        <c:crossBetween val="midCat"/>
      </c:valAx>
    </c:plotArea>
    <c:plotVisOnly val="1"/>
    <c:dispBlanksAs val="gap"/>
    <c:showDLblsOverMax val="0"/>
  </c:chart>
  <c:printSettings>
    <c:headerFooter alignWithMargins="0"/>
    <c:pageMargins b="3.1496062992125986" l="2.1653543307086607" r="2.1653543307086607" t="3.1496062992125986" header="0.51181102362204722" footer="0.51181102362204722"/>
    <c:pageSetup paperSize="9" orientation="portrait" horizontalDpi="-4" verticalDpi="30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1"/>
          <c:order val="0"/>
          <c:tx>
            <c:strRef>
              <c:f>'Min. Expl. Major Commodities'!$G$7</c:f>
              <c:strCache>
                <c:ptCount val="1"/>
                <c:pt idx="0">
                  <c:v>Gold</c:v>
                </c:pt>
              </c:strCache>
            </c:strRef>
          </c:tx>
          <c:dPt>
            <c:idx val="0"/>
            <c:bubble3D val="0"/>
            <c:spPr>
              <a:solidFill>
                <a:srgbClr val="FFFF00"/>
              </a:solidFill>
            </c:spPr>
          </c:dPt>
          <c:dPt>
            <c:idx val="1"/>
            <c:bubble3D val="0"/>
            <c:spPr>
              <a:solidFill>
                <a:srgbClr val="F0F0A0"/>
              </a:solidFill>
            </c:spPr>
          </c:dPt>
          <c:dLbls>
            <c:txPr>
              <a:bodyPr rot="0" vert="horz"/>
              <a:lstStyle/>
              <a:p>
                <a:pPr>
                  <a:defRPr/>
                </a:pPr>
                <a:endParaRPr lang="en-US"/>
              </a:p>
            </c:txPr>
            <c:showLegendKey val="0"/>
            <c:showVal val="0"/>
            <c:showCatName val="1"/>
            <c:showSerName val="0"/>
            <c:showPercent val="1"/>
            <c:showBubbleSize val="0"/>
            <c:showLeaderLines val="1"/>
          </c:dLbls>
          <c:cat>
            <c:strRef>
              <c:f>('Min. Expl. Major Commodities'!$A$12,'Min. Expl. Major Commodities'!$A$16)</c:f>
              <c:strCache>
                <c:ptCount val="2"/>
                <c:pt idx="0">
                  <c:v>WA</c:v>
                </c:pt>
                <c:pt idx="1">
                  <c:v>Rest of Australia</c:v>
                </c:pt>
              </c:strCache>
            </c:strRef>
          </c:cat>
          <c:val>
            <c:numRef>
              <c:f>('Min. Expl. Major Commodities'!$G$12,'Min. Expl. Major Commodities'!$G$16)</c:f>
              <c:numCache>
                <c:formatCode>General</c:formatCode>
                <c:ptCount val="2"/>
                <c:pt idx="0">
                  <c:v>445.9</c:v>
                </c:pt>
                <c:pt idx="1">
                  <c:v>171.69999999999993</c:v>
                </c:pt>
              </c:numCache>
            </c:numRef>
          </c:val>
        </c:ser>
        <c:dLbls>
          <c:showLegendKey val="0"/>
          <c:showVal val="0"/>
          <c:showCatName val="0"/>
          <c:showSerName val="0"/>
          <c:showPercent val="0"/>
          <c:showBubbleSize val="0"/>
          <c:showLeaderLines val="1"/>
        </c:dLbls>
        <c:firstSliceAng val="54"/>
        <c:holeSize val="40"/>
      </c:doughnut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a:t>Australian exploration expenditure - </a:t>
            </a:r>
          </a:p>
          <a:p>
            <a:pPr>
              <a:defRPr/>
            </a:pPr>
            <a:r>
              <a:rPr lang="en-AU"/>
              <a:t>new and existing deposits</a:t>
            </a:r>
          </a:p>
        </c:rich>
      </c:tx>
      <c:overlay val="0"/>
    </c:title>
    <c:autoTitleDeleted val="0"/>
    <c:plotArea>
      <c:layout>
        <c:manualLayout>
          <c:layoutTarget val="inner"/>
          <c:xMode val="edge"/>
          <c:yMode val="edge"/>
          <c:x val="9.6228862631932824E-2"/>
          <c:y val="0.14801275490477037"/>
          <c:w val="0.88287903096518239"/>
          <c:h val="0.69090207744829124"/>
        </c:manualLayout>
      </c:layout>
      <c:areaChart>
        <c:grouping val="stacked"/>
        <c:varyColors val="0"/>
        <c:ser>
          <c:idx val="0"/>
          <c:order val="0"/>
          <c:tx>
            <c:v>New Deposits</c:v>
          </c:tx>
          <c:cat>
            <c:numRef>
              <c:f>'Mineral Exploration Drilling'!$C$9:$C$139</c:f>
              <c:numCache>
                <c:formatCode>mmm\-yyyy</c:formatCode>
                <c:ptCount val="131"/>
                <c:pt idx="0">
                  <c:v>37865</c:v>
                </c:pt>
                <c:pt idx="1">
                  <c:v>37956</c:v>
                </c:pt>
                <c:pt idx="2">
                  <c:v>38047</c:v>
                </c:pt>
                <c:pt idx="3">
                  <c:v>38139</c:v>
                </c:pt>
                <c:pt idx="4">
                  <c:v>38231</c:v>
                </c:pt>
                <c:pt idx="5">
                  <c:v>38322</c:v>
                </c:pt>
                <c:pt idx="6">
                  <c:v>38412</c:v>
                </c:pt>
                <c:pt idx="7">
                  <c:v>38504</c:v>
                </c:pt>
                <c:pt idx="8">
                  <c:v>38596</c:v>
                </c:pt>
                <c:pt idx="9">
                  <c:v>38687</c:v>
                </c:pt>
                <c:pt idx="10">
                  <c:v>38777</c:v>
                </c:pt>
                <c:pt idx="11">
                  <c:v>38869</c:v>
                </c:pt>
                <c:pt idx="12">
                  <c:v>38961</c:v>
                </c:pt>
                <c:pt idx="13">
                  <c:v>39052</c:v>
                </c:pt>
                <c:pt idx="14">
                  <c:v>39142</c:v>
                </c:pt>
                <c:pt idx="15">
                  <c:v>39234</c:v>
                </c:pt>
                <c:pt idx="16">
                  <c:v>39326</c:v>
                </c:pt>
                <c:pt idx="17">
                  <c:v>39417</c:v>
                </c:pt>
                <c:pt idx="18">
                  <c:v>39508</c:v>
                </c:pt>
                <c:pt idx="19">
                  <c:v>39600</c:v>
                </c:pt>
                <c:pt idx="20">
                  <c:v>39692</c:v>
                </c:pt>
                <c:pt idx="21">
                  <c:v>39783</c:v>
                </c:pt>
                <c:pt idx="22">
                  <c:v>39873</c:v>
                </c:pt>
                <c:pt idx="23">
                  <c:v>39965</c:v>
                </c:pt>
                <c:pt idx="24">
                  <c:v>40057</c:v>
                </c:pt>
                <c:pt idx="25">
                  <c:v>40148</c:v>
                </c:pt>
                <c:pt idx="26">
                  <c:v>40238</c:v>
                </c:pt>
                <c:pt idx="27">
                  <c:v>40330</c:v>
                </c:pt>
                <c:pt idx="28">
                  <c:v>40422</c:v>
                </c:pt>
                <c:pt idx="29">
                  <c:v>40513</c:v>
                </c:pt>
                <c:pt idx="30">
                  <c:v>40603</c:v>
                </c:pt>
                <c:pt idx="31">
                  <c:v>40695</c:v>
                </c:pt>
                <c:pt idx="32">
                  <c:v>40787</c:v>
                </c:pt>
                <c:pt idx="33">
                  <c:v>40878</c:v>
                </c:pt>
                <c:pt idx="34">
                  <c:v>40969</c:v>
                </c:pt>
                <c:pt idx="35">
                  <c:v>41061</c:v>
                </c:pt>
                <c:pt idx="36">
                  <c:v>41153</c:v>
                </c:pt>
                <c:pt idx="37">
                  <c:v>41244</c:v>
                </c:pt>
                <c:pt idx="38">
                  <c:v>41334</c:v>
                </c:pt>
                <c:pt idx="39">
                  <c:v>41426</c:v>
                </c:pt>
                <c:pt idx="40">
                  <c:v>41518</c:v>
                </c:pt>
                <c:pt idx="41">
                  <c:v>41609</c:v>
                </c:pt>
                <c:pt idx="42">
                  <c:v>41699</c:v>
                </c:pt>
                <c:pt idx="43">
                  <c:v>41791</c:v>
                </c:pt>
                <c:pt idx="44">
                  <c:v>41883</c:v>
                </c:pt>
                <c:pt idx="45">
                  <c:v>41974</c:v>
                </c:pt>
                <c:pt idx="46">
                  <c:v>42064</c:v>
                </c:pt>
                <c:pt idx="47">
                  <c:v>42156</c:v>
                </c:pt>
                <c:pt idx="48">
                  <c:v>42248</c:v>
                </c:pt>
                <c:pt idx="49">
                  <c:v>42339</c:v>
                </c:pt>
                <c:pt idx="50">
                  <c:v>42430</c:v>
                </c:pt>
                <c:pt idx="51">
                  <c:v>42522</c:v>
                </c:pt>
                <c:pt idx="52">
                  <c:v>42614</c:v>
                </c:pt>
                <c:pt idx="53">
                  <c:v>42705</c:v>
                </c:pt>
              </c:numCache>
            </c:numRef>
          </c:cat>
          <c:val>
            <c:numRef>
              <c:f>'Mineral Exploration Drilling'!$D$9:$D$139</c:f>
              <c:numCache>
                <c:formatCode>_-* #,##0.0_-;\-* #,##0.0_-;_-* "-"??_-;_-@_-</c:formatCode>
                <c:ptCount val="131"/>
                <c:pt idx="0">
                  <c:v>63.6</c:v>
                </c:pt>
                <c:pt idx="1">
                  <c:v>84.1</c:v>
                </c:pt>
                <c:pt idx="2">
                  <c:v>60.1</c:v>
                </c:pt>
                <c:pt idx="3">
                  <c:v>103.3</c:v>
                </c:pt>
                <c:pt idx="4">
                  <c:v>98.1</c:v>
                </c:pt>
                <c:pt idx="5">
                  <c:v>107.5</c:v>
                </c:pt>
                <c:pt idx="6">
                  <c:v>83.8</c:v>
                </c:pt>
                <c:pt idx="7">
                  <c:v>115.2</c:v>
                </c:pt>
                <c:pt idx="8">
                  <c:v>105.5</c:v>
                </c:pt>
                <c:pt idx="9">
                  <c:v>117.8</c:v>
                </c:pt>
                <c:pt idx="10">
                  <c:v>104.5</c:v>
                </c:pt>
                <c:pt idx="11">
                  <c:v>129.69999999999999</c:v>
                </c:pt>
                <c:pt idx="12">
                  <c:v>138.5</c:v>
                </c:pt>
                <c:pt idx="13">
                  <c:v>160.19999999999999</c:v>
                </c:pt>
                <c:pt idx="14">
                  <c:v>132.5</c:v>
                </c:pt>
                <c:pt idx="15">
                  <c:v>178.7</c:v>
                </c:pt>
                <c:pt idx="16">
                  <c:v>209.5</c:v>
                </c:pt>
                <c:pt idx="17">
                  <c:v>274.2</c:v>
                </c:pt>
                <c:pt idx="18">
                  <c:v>223.6</c:v>
                </c:pt>
                <c:pt idx="19">
                  <c:v>305.39999999999998</c:v>
                </c:pt>
                <c:pt idx="20">
                  <c:v>270.60000000000002</c:v>
                </c:pt>
                <c:pt idx="21">
                  <c:v>237.7</c:v>
                </c:pt>
                <c:pt idx="22">
                  <c:v>148.80000000000001</c:v>
                </c:pt>
                <c:pt idx="23">
                  <c:v>182.1</c:v>
                </c:pt>
                <c:pt idx="24">
                  <c:v>201.8</c:v>
                </c:pt>
                <c:pt idx="25">
                  <c:v>229</c:v>
                </c:pt>
                <c:pt idx="26">
                  <c:v>173.4</c:v>
                </c:pt>
                <c:pt idx="27">
                  <c:v>249.2</c:v>
                </c:pt>
                <c:pt idx="28">
                  <c:v>240.9</c:v>
                </c:pt>
                <c:pt idx="29">
                  <c:v>289.5</c:v>
                </c:pt>
                <c:pt idx="30">
                  <c:v>215</c:v>
                </c:pt>
                <c:pt idx="31">
                  <c:v>292.10000000000002</c:v>
                </c:pt>
                <c:pt idx="32">
                  <c:v>313.10000000000002</c:v>
                </c:pt>
                <c:pt idx="33">
                  <c:v>323.60000000000002</c:v>
                </c:pt>
                <c:pt idx="34">
                  <c:v>248.6</c:v>
                </c:pt>
                <c:pt idx="35">
                  <c:v>357.7</c:v>
                </c:pt>
                <c:pt idx="36">
                  <c:v>303</c:v>
                </c:pt>
                <c:pt idx="37">
                  <c:v>263.39999999999998</c:v>
                </c:pt>
                <c:pt idx="38">
                  <c:v>176.3</c:v>
                </c:pt>
                <c:pt idx="39">
                  <c:v>275.7</c:v>
                </c:pt>
                <c:pt idx="40">
                  <c:v>241.9</c:v>
                </c:pt>
                <c:pt idx="41">
                  <c:v>175.4</c:v>
                </c:pt>
                <c:pt idx="42">
                  <c:v>121</c:v>
                </c:pt>
                <c:pt idx="43">
                  <c:v>144</c:v>
                </c:pt>
                <c:pt idx="44">
                  <c:v>129.69999999999999</c:v>
                </c:pt>
                <c:pt idx="45">
                  <c:v>150.80000000000001</c:v>
                </c:pt>
                <c:pt idx="46">
                  <c:v>91.1</c:v>
                </c:pt>
                <c:pt idx="47">
                  <c:v>114.5</c:v>
                </c:pt>
                <c:pt idx="48">
                  <c:v>114.9</c:v>
                </c:pt>
                <c:pt idx="49">
                  <c:v>105.6</c:v>
                </c:pt>
                <c:pt idx="50">
                  <c:v>87.1</c:v>
                </c:pt>
                <c:pt idx="51">
                  <c:v>104.1</c:v>
                </c:pt>
                <c:pt idx="52">
                  <c:v>113.8</c:v>
                </c:pt>
                <c:pt idx="53">
                  <c:v>130.9</c:v>
                </c:pt>
              </c:numCache>
            </c:numRef>
          </c:val>
        </c:ser>
        <c:ser>
          <c:idx val="1"/>
          <c:order val="1"/>
          <c:tx>
            <c:v>Existing Deposits</c:v>
          </c:tx>
          <c:cat>
            <c:numRef>
              <c:f>'Mineral Exploration Drilling'!$C$9:$C$139</c:f>
              <c:numCache>
                <c:formatCode>mmm\-yyyy</c:formatCode>
                <c:ptCount val="131"/>
                <c:pt idx="0">
                  <c:v>37865</c:v>
                </c:pt>
                <c:pt idx="1">
                  <c:v>37956</c:v>
                </c:pt>
                <c:pt idx="2">
                  <c:v>38047</c:v>
                </c:pt>
                <c:pt idx="3">
                  <c:v>38139</c:v>
                </c:pt>
                <c:pt idx="4">
                  <c:v>38231</c:v>
                </c:pt>
                <c:pt idx="5">
                  <c:v>38322</c:v>
                </c:pt>
                <c:pt idx="6">
                  <c:v>38412</c:v>
                </c:pt>
                <c:pt idx="7">
                  <c:v>38504</c:v>
                </c:pt>
                <c:pt idx="8">
                  <c:v>38596</c:v>
                </c:pt>
                <c:pt idx="9">
                  <c:v>38687</c:v>
                </c:pt>
                <c:pt idx="10">
                  <c:v>38777</c:v>
                </c:pt>
                <c:pt idx="11">
                  <c:v>38869</c:v>
                </c:pt>
                <c:pt idx="12">
                  <c:v>38961</c:v>
                </c:pt>
                <c:pt idx="13">
                  <c:v>39052</c:v>
                </c:pt>
                <c:pt idx="14">
                  <c:v>39142</c:v>
                </c:pt>
                <c:pt idx="15">
                  <c:v>39234</c:v>
                </c:pt>
                <c:pt idx="16">
                  <c:v>39326</c:v>
                </c:pt>
                <c:pt idx="17">
                  <c:v>39417</c:v>
                </c:pt>
                <c:pt idx="18">
                  <c:v>39508</c:v>
                </c:pt>
                <c:pt idx="19">
                  <c:v>39600</c:v>
                </c:pt>
                <c:pt idx="20">
                  <c:v>39692</c:v>
                </c:pt>
                <c:pt idx="21">
                  <c:v>39783</c:v>
                </c:pt>
                <c:pt idx="22">
                  <c:v>39873</c:v>
                </c:pt>
                <c:pt idx="23">
                  <c:v>39965</c:v>
                </c:pt>
                <c:pt idx="24">
                  <c:v>40057</c:v>
                </c:pt>
                <c:pt idx="25">
                  <c:v>40148</c:v>
                </c:pt>
                <c:pt idx="26">
                  <c:v>40238</c:v>
                </c:pt>
                <c:pt idx="27">
                  <c:v>40330</c:v>
                </c:pt>
                <c:pt idx="28">
                  <c:v>40422</c:v>
                </c:pt>
                <c:pt idx="29">
                  <c:v>40513</c:v>
                </c:pt>
                <c:pt idx="30">
                  <c:v>40603</c:v>
                </c:pt>
                <c:pt idx="31">
                  <c:v>40695</c:v>
                </c:pt>
                <c:pt idx="32">
                  <c:v>40787</c:v>
                </c:pt>
                <c:pt idx="33">
                  <c:v>40878</c:v>
                </c:pt>
                <c:pt idx="34">
                  <c:v>40969</c:v>
                </c:pt>
                <c:pt idx="35">
                  <c:v>41061</c:v>
                </c:pt>
                <c:pt idx="36">
                  <c:v>41153</c:v>
                </c:pt>
                <c:pt idx="37">
                  <c:v>41244</c:v>
                </c:pt>
                <c:pt idx="38">
                  <c:v>41334</c:v>
                </c:pt>
                <c:pt idx="39">
                  <c:v>41426</c:v>
                </c:pt>
                <c:pt idx="40">
                  <c:v>41518</c:v>
                </c:pt>
                <c:pt idx="41">
                  <c:v>41609</c:v>
                </c:pt>
                <c:pt idx="42">
                  <c:v>41699</c:v>
                </c:pt>
                <c:pt idx="43">
                  <c:v>41791</c:v>
                </c:pt>
                <c:pt idx="44">
                  <c:v>41883</c:v>
                </c:pt>
                <c:pt idx="45">
                  <c:v>41974</c:v>
                </c:pt>
                <c:pt idx="46">
                  <c:v>42064</c:v>
                </c:pt>
                <c:pt idx="47">
                  <c:v>42156</c:v>
                </c:pt>
                <c:pt idx="48">
                  <c:v>42248</c:v>
                </c:pt>
                <c:pt idx="49">
                  <c:v>42339</c:v>
                </c:pt>
                <c:pt idx="50">
                  <c:v>42430</c:v>
                </c:pt>
                <c:pt idx="51">
                  <c:v>42522</c:v>
                </c:pt>
                <c:pt idx="52">
                  <c:v>42614</c:v>
                </c:pt>
                <c:pt idx="53">
                  <c:v>42705</c:v>
                </c:pt>
              </c:numCache>
            </c:numRef>
          </c:cat>
          <c:val>
            <c:numRef>
              <c:f>'Mineral Exploration Drilling'!$E$9:$E$139</c:f>
              <c:numCache>
                <c:formatCode>_-* #,##0.0_-;\-* #,##0.0_-;_-* "-"??_-;_-@_-</c:formatCode>
                <c:ptCount val="131"/>
                <c:pt idx="0">
                  <c:v>115.9</c:v>
                </c:pt>
                <c:pt idx="1">
                  <c:v>115.4</c:v>
                </c:pt>
                <c:pt idx="2">
                  <c:v>107.1</c:v>
                </c:pt>
                <c:pt idx="3">
                  <c:v>137.1</c:v>
                </c:pt>
                <c:pt idx="4">
                  <c:v>153</c:v>
                </c:pt>
                <c:pt idx="5">
                  <c:v>153.30000000000001</c:v>
                </c:pt>
                <c:pt idx="6">
                  <c:v>142</c:v>
                </c:pt>
                <c:pt idx="7">
                  <c:v>175.5</c:v>
                </c:pt>
                <c:pt idx="8">
                  <c:v>186.6</c:v>
                </c:pt>
                <c:pt idx="9">
                  <c:v>209.8</c:v>
                </c:pt>
                <c:pt idx="10">
                  <c:v>159.30000000000001</c:v>
                </c:pt>
                <c:pt idx="11">
                  <c:v>227.7</c:v>
                </c:pt>
                <c:pt idx="12">
                  <c:v>256.10000000000002</c:v>
                </c:pt>
                <c:pt idx="13">
                  <c:v>288</c:v>
                </c:pt>
                <c:pt idx="14">
                  <c:v>236.8</c:v>
                </c:pt>
                <c:pt idx="15">
                  <c:v>323.7</c:v>
                </c:pt>
                <c:pt idx="16">
                  <c:v>353.9</c:v>
                </c:pt>
                <c:pt idx="17">
                  <c:v>351.7</c:v>
                </c:pt>
                <c:pt idx="18">
                  <c:v>320.3</c:v>
                </c:pt>
                <c:pt idx="19">
                  <c:v>422.7</c:v>
                </c:pt>
                <c:pt idx="20">
                  <c:v>417.1</c:v>
                </c:pt>
                <c:pt idx="21">
                  <c:v>410.8</c:v>
                </c:pt>
                <c:pt idx="22">
                  <c:v>254.6</c:v>
                </c:pt>
                <c:pt idx="23">
                  <c:v>301.39999999999998</c:v>
                </c:pt>
                <c:pt idx="24">
                  <c:v>355.5</c:v>
                </c:pt>
                <c:pt idx="25">
                  <c:v>349.7</c:v>
                </c:pt>
                <c:pt idx="26">
                  <c:v>285.89999999999998</c:v>
                </c:pt>
                <c:pt idx="27">
                  <c:v>387.9</c:v>
                </c:pt>
                <c:pt idx="28">
                  <c:v>428.5</c:v>
                </c:pt>
                <c:pt idx="29">
                  <c:v>434.9</c:v>
                </c:pt>
                <c:pt idx="30">
                  <c:v>435.1</c:v>
                </c:pt>
                <c:pt idx="31">
                  <c:v>615.29999999999995</c:v>
                </c:pt>
                <c:pt idx="32">
                  <c:v>670.3</c:v>
                </c:pt>
                <c:pt idx="33">
                  <c:v>708.8</c:v>
                </c:pt>
                <c:pt idx="34">
                  <c:v>627.5</c:v>
                </c:pt>
                <c:pt idx="35">
                  <c:v>703.4</c:v>
                </c:pt>
                <c:pt idx="36">
                  <c:v>591.70000000000005</c:v>
                </c:pt>
                <c:pt idx="37">
                  <c:v>560.6</c:v>
                </c:pt>
                <c:pt idx="38">
                  <c:v>495.9</c:v>
                </c:pt>
                <c:pt idx="39">
                  <c:v>388.9</c:v>
                </c:pt>
                <c:pt idx="40">
                  <c:v>396.5</c:v>
                </c:pt>
                <c:pt idx="41">
                  <c:v>372</c:v>
                </c:pt>
                <c:pt idx="42">
                  <c:v>287</c:v>
                </c:pt>
                <c:pt idx="43">
                  <c:v>371</c:v>
                </c:pt>
                <c:pt idx="44">
                  <c:v>328.1</c:v>
                </c:pt>
                <c:pt idx="45">
                  <c:v>308.5</c:v>
                </c:pt>
                <c:pt idx="46">
                  <c:v>226.6</c:v>
                </c:pt>
                <c:pt idx="47">
                  <c:v>230.1</c:v>
                </c:pt>
                <c:pt idx="48">
                  <c:v>279.10000000000002</c:v>
                </c:pt>
                <c:pt idx="49">
                  <c:v>277.3</c:v>
                </c:pt>
                <c:pt idx="50">
                  <c:v>203.2</c:v>
                </c:pt>
                <c:pt idx="51">
                  <c:v>249.8</c:v>
                </c:pt>
                <c:pt idx="52">
                  <c:v>265.60000000000002</c:v>
                </c:pt>
                <c:pt idx="53">
                  <c:v>272.3</c:v>
                </c:pt>
              </c:numCache>
            </c:numRef>
          </c:val>
        </c:ser>
        <c:dLbls>
          <c:showLegendKey val="0"/>
          <c:showVal val="0"/>
          <c:showCatName val="0"/>
          <c:showSerName val="0"/>
          <c:showPercent val="0"/>
          <c:showBubbleSize val="0"/>
        </c:dLbls>
        <c:axId val="94651520"/>
        <c:axId val="94653440"/>
      </c:areaChart>
      <c:dateAx>
        <c:axId val="94651520"/>
        <c:scaling>
          <c:orientation val="minMax"/>
          <c:max val="42705"/>
          <c:min val="37987"/>
        </c:scaling>
        <c:delete val="0"/>
        <c:axPos val="b"/>
        <c:title>
          <c:tx>
            <c:rich>
              <a:bodyPr/>
              <a:lstStyle/>
              <a:p>
                <a:pPr>
                  <a:defRPr/>
                </a:pPr>
                <a:r>
                  <a:rPr lang="en-AU"/>
                  <a:t>Source:</a:t>
                </a:r>
                <a:r>
                  <a:rPr lang="en-AU" baseline="0"/>
                  <a:t> ABS</a:t>
                </a:r>
                <a:endParaRPr lang="en-AU"/>
              </a:p>
            </c:rich>
          </c:tx>
          <c:layout>
            <c:manualLayout>
              <c:xMode val="edge"/>
              <c:yMode val="edge"/>
              <c:x val="1.7530825203806423E-2"/>
              <c:y val="0.95542934082979658"/>
            </c:manualLayout>
          </c:layout>
          <c:overlay val="0"/>
        </c:title>
        <c:numFmt formatCode="mmm\-yyyy" sourceLinked="1"/>
        <c:majorTickMark val="out"/>
        <c:minorTickMark val="none"/>
        <c:tickLblPos val="nextTo"/>
        <c:crossAx val="94653440"/>
        <c:crosses val="autoZero"/>
        <c:auto val="1"/>
        <c:lblOffset val="100"/>
        <c:baseTimeUnit val="months"/>
        <c:majorUnit val="6"/>
        <c:majorTimeUnit val="months"/>
      </c:dateAx>
      <c:valAx>
        <c:axId val="94653440"/>
        <c:scaling>
          <c:orientation val="minMax"/>
        </c:scaling>
        <c:delete val="0"/>
        <c:axPos val="l"/>
        <c:majorGridlines/>
        <c:numFmt formatCode="_-* #,##0.0_-;\-* #,##0.0_-;_-* &quot;-&quot;??_-;_-@_-" sourceLinked="1"/>
        <c:majorTickMark val="out"/>
        <c:minorTickMark val="none"/>
        <c:tickLblPos val="nextTo"/>
        <c:crossAx val="94651520"/>
        <c:crosses val="autoZero"/>
        <c:crossBetween val="between"/>
      </c:valAx>
    </c:plotArea>
    <c:legend>
      <c:legendPos val="b"/>
      <c:overlay val="0"/>
    </c:legend>
    <c:plotVisOnly val="1"/>
    <c:dispBlanksAs val="zero"/>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a:t>Australia-wide Drill Metres</a:t>
            </a:r>
            <a:br>
              <a:rPr lang="en-AU"/>
            </a:br>
            <a:r>
              <a:rPr lang="en-AU"/>
              <a:t>New and Existing Deposits</a:t>
            </a:r>
          </a:p>
        </c:rich>
      </c:tx>
      <c:layout>
        <c:manualLayout>
          <c:xMode val="edge"/>
          <c:yMode val="edge"/>
          <c:x val="0.3042776640565053"/>
          <c:y val="6.6066055130822492E-3"/>
        </c:manualLayout>
      </c:layout>
      <c:overlay val="0"/>
    </c:title>
    <c:autoTitleDeleted val="0"/>
    <c:plotArea>
      <c:layout>
        <c:manualLayout>
          <c:layoutTarget val="inner"/>
          <c:xMode val="edge"/>
          <c:yMode val="edge"/>
          <c:x val="8.309038447097751E-2"/>
          <c:y val="0.1462970366253043"/>
          <c:w val="0.89597087341533665"/>
          <c:h val="0.58540068033664472"/>
        </c:manualLayout>
      </c:layout>
      <c:areaChart>
        <c:grouping val="stacked"/>
        <c:varyColors val="0"/>
        <c:ser>
          <c:idx val="0"/>
          <c:order val="0"/>
          <c:tx>
            <c:v>New Deposits</c:v>
          </c:tx>
          <c:cat>
            <c:numRef>
              <c:f>'Mineral Exploration Drilling'!$C$9:$C$139</c:f>
              <c:numCache>
                <c:formatCode>mmm\-yyyy</c:formatCode>
                <c:ptCount val="131"/>
                <c:pt idx="0">
                  <c:v>37865</c:v>
                </c:pt>
                <c:pt idx="1">
                  <c:v>37956</c:v>
                </c:pt>
                <c:pt idx="2">
                  <c:v>38047</c:v>
                </c:pt>
                <c:pt idx="3">
                  <c:v>38139</c:v>
                </c:pt>
                <c:pt idx="4">
                  <c:v>38231</c:v>
                </c:pt>
                <c:pt idx="5">
                  <c:v>38322</c:v>
                </c:pt>
                <c:pt idx="6">
                  <c:v>38412</c:v>
                </c:pt>
                <c:pt idx="7">
                  <c:v>38504</c:v>
                </c:pt>
                <c:pt idx="8">
                  <c:v>38596</c:v>
                </c:pt>
                <c:pt idx="9">
                  <c:v>38687</c:v>
                </c:pt>
                <c:pt idx="10">
                  <c:v>38777</c:v>
                </c:pt>
                <c:pt idx="11">
                  <c:v>38869</c:v>
                </c:pt>
                <c:pt idx="12">
                  <c:v>38961</c:v>
                </c:pt>
                <c:pt idx="13">
                  <c:v>39052</c:v>
                </c:pt>
                <c:pt idx="14">
                  <c:v>39142</c:v>
                </c:pt>
                <c:pt idx="15">
                  <c:v>39234</c:v>
                </c:pt>
                <c:pt idx="16">
                  <c:v>39326</c:v>
                </c:pt>
                <c:pt idx="17">
                  <c:v>39417</c:v>
                </c:pt>
                <c:pt idx="18">
                  <c:v>39508</c:v>
                </c:pt>
                <c:pt idx="19">
                  <c:v>39600</c:v>
                </c:pt>
                <c:pt idx="20">
                  <c:v>39692</c:v>
                </c:pt>
                <c:pt idx="21">
                  <c:v>39783</c:v>
                </c:pt>
                <c:pt idx="22">
                  <c:v>39873</c:v>
                </c:pt>
                <c:pt idx="23">
                  <c:v>39965</c:v>
                </c:pt>
                <c:pt idx="24">
                  <c:v>40057</c:v>
                </c:pt>
                <c:pt idx="25">
                  <c:v>40148</c:v>
                </c:pt>
                <c:pt idx="26">
                  <c:v>40238</c:v>
                </c:pt>
                <c:pt idx="27">
                  <c:v>40330</c:v>
                </c:pt>
                <c:pt idx="28">
                  <c:v>40422</c:v>
                </c:pt>
                <c:pt idx="29">
                  <c:v>40513</c:v>
                </c:pt>
                <c:pt idx="30">
                  <c:v>40603</c:v>
                </c:pt>
                <c:pt idx="31">
                  <c:v>40695</c:v>
                </c:pt>
                <c:pt idx="32">
                  <c:v>40787</c:v>
                </c:pt>
                <c:pt idx="33">
                  <c:v>40878</c:v>
                </c:pt>
                <c:pt idx="34">
                  <c:v>40969</c:v>
                </c:pt>
                <c:pt idx="35">
                  <c:v>41061</c:v>
                </c:pt>
                <c:pt idx="36">
                  <c:v>41153</c:v>
                </c:pt>
                <c:pt idx="37">
                  <c:v>41244</c:v>
                </c:pt>
                <c:pt idx="38">
                  <c:v>41334</c:v>
                </c:pt>
                <c:pt idx="39">
                  <c:v>41426</c:v>
                </c:pt>
                <c:pt idx="40">
                  <c:v>41518</c:v>
                </c:pt>
                <c:pt idx="41">
                  <c:v>41609</c:v>
                </c:pt>
                <c:pt idx="42">
                  <c:v>41699</c:v>
                </c:pt>
                <c:pt idx="43">
                  <c:v>41791</c:v>
                </c:pt>
                <c:pt idx="44">
                  <c:v>41883</c:v>
                </c:pt>
                <c:pt idx="45">
                  <c:v>41974</c:v>
                </c:pt>
                <c:pt idx="46">
                  <c:v>42064</c:v>
                </c:pt>
                <c:pt idx="47">
                  <c:v>42156</c:v>
                </c:pt>
                <c:pt idx="48">
                  <c:v>42248</c:v>
                </c:pt>
                <c:pt idx="49">
                  <c:v>42339</c:v>
                </c:pt>
                <c:pt idx="50">
                  <c:v>42430</c:v>
                </c:pt>
                <c:pt idx="51">
                  <c:v>42522</c:v>
                </c:pt>
                <c:pt idx="52">
                  <c:v>42614</c:v>
                </c:pt>
                <c:pt idx="53">
                  <c:v>42705</c:v>
                </c:pt>
              </c:numCache>
            </c:numRef>
          </c:cat>
          <c:val>
            <c:numRef>
              <c:f>'Mineral Exploration Drilling'!$G$9:$G$139</c:f>
              <c:numCache>
                <c:formatCode>_-* #,##0.0_-;\-* #,##0.0_-;_-* "-"??_-;_-@_-</c:formatCode>
                <c:ptCount val="131"/>
                <c:pt idx="0">
                  <c:v>646</c:v>
                </c:pt>
                <c:pt idx="1">
                  <c:v>636</c:v>
                </c:pt>
                <c:pt idx="2">
                  <c:v>508</c:v>
                </c:pt>
                <c:pt idx="3">
                  <c:v>891</c:v>
                </c:pt>
                <c:pt idx="4">
                  <c:v>897.7</c:v>
                </c:pt>
                <c:pt idx="5">
                  <c:v>602.79999999999995</c:v>
                </c:pt>
                <c:pt idx="6">
                  <c:v>532.79999999999995</c:v>
                </c:pt>
                <c:pt idx="7">
                  <c:v>750.1</c:v>
                </c:pt>
                <c:pt idx="8">
                  <c:v>735.1</c:v>
                </c:pt>
                <c:pt idx="9">
                  <c:v>581.79999999999995</c:v>
                </c:pt>
                <c:pt idx="10">
                  <c:v>522.79999999999995</c:v>
                </c:pt>
                <c:pt idx="11">
                  <c:v>778</c:v>
                </c:pt>
                <c:pt idx="12">
                  <c:v>812.4</c:v>
                </c:pt>
                <c:pt idx="13">
                  <c:v>900.4</c:v>
                </c:pt>
                <c:pt idx="14">
                  <c:v>713.2</c:v>
                </c:pt>
                <c:pt idx="15">
                  <c:v>814.1</c:v>
                </c:pt>
                <c:pt idx="16">
                  <c:v>1055.8</c:v>
                </c:pt>
                <c:pt idx="17">
                  <c:v>970.1</c:v>
                </c:pt>
                <c:pt idx="18">
                  <c:v>737.1</c:v>
                </c:pt>
                <c:pt idx="19">
                  <c:v>1157</c:v>
                </c:pt>
                <c:pt idx="20">
                  <c:v>1068.9000000000001</c:v>
                </c:pt>
                <c:pt idx="21">
                  <c:v>792.1</c:v>
                </c:pt>
                <c:pt idx="22">
                  <c:v>338.2</c:v>
                </c:pt>
                <c:pt idx="23">
                  <c:v>521.20000000000005</c:v>
                </c:pt>
                <c:pt idx="24">
                  <c:v>719</c:v>
                </c:pt>
                <c:pt idx="25">
                  <c:v>857.6</c:v>
                </c:pt>
                <c:pt idx="26">
                  <c:v>547.5</c:v>
                </c:pt>
                <c:pt idx="27">
                  <c:v>930.4</c:v>
                </c:pt>
                <c:pt idx="28">
                  <c:v>907.4</c:v>
                </c:pt>
                <c:pt idx="29">
                  <c:v>932.7</c:v>
                </c:pt>
                <c:pt idx="30">
                  <c:v>617.20000000000005</c:v>
                </c:pt>
                <c:pt idx="31">
                  <c:v>979</c:v>
                </c:pt>
                <c:pt idx="32">
                  <c:v>1037.7</c:v>
                </c:pt>
                <c:pt idx="33">
                  <c:v>1008.4</c:v>
                </c:pt>
                <c:pt idx="34">
                  <c:v>582.79999999999995</c:v>
                </c:pt>
                <c:pt idx="35">
                  <c:v>1071.2</c:v>
                </c:pt>
                <c:pt idx="36">
                  <c:v>943.1</c:v>
                </c:pt>
                <c:pt idx="37">
                  <c:v>677.4</c:v>
                </c:pt>
                <c:pt idx="38">
                  <c:v>416.7</c:v>
                </c:pt>
                <c:pt idx="39">
                  <c:v>692.5</c:v>
                </c:pt>
                <c:pt idx="40">
                  <c:v>592.70000000000005</c:v>
                </c:pt>
                <c:pt idx="41">
                  <c:v>396.1</c:v>
                </c:pt>
                <c:pt idx="42">
                  <c:v>300</c:v>
                </c:pt>
                <c:pt idx="43">
                  <c:v>308.8</c:v>
                </c:pt>
                <c:pt idx="44">
                  <c:v>397.2</c:v>
                </c:pt>
                <c:pt idx="45">
                  <c:v>491.9</c:v>
                </c:pt>
                <c:pt idx="46">
                  <c:v>242.1</c:v>
                </c:pt>
                <c:pt idx="47">
                  <c:v>438.1</c:v>
                </c:pt>
                <c:pt idx="48">
                  <c:v>341.1</c:v>
                </c:pt>
                <c:pt idx="49">
                  <c:v>442.4</c:v>
                </c:pt>
                <c:pt idx="50">
                  <c:v>306.60000000000002</c:v>
                </c:pt>
                <c:pt idx="51">
                  <c:v>418.2</c:v>
                </c:pt>
                <c:pt idx="52">
                  <c:v>539.1</c:v>
                </c:pt>
                <c:pt idx="53">
                  <c:v>658.7</c:v>
                </c:pt>
              </c:numCache>
            </c:numRef>
          </c:val>
        </c:ser>
        <c:ser>
          <c:idx val="1"/>
          <c:order val="1"/>
          <c:tx>
            <c:v>Existing Deposits</c:v>
          </c:tx>
          <c:cat>
            <c:numRef>
              <c:f>'Mineral Exploration Drilling'!$C$9:$C$139</c:f>
              <c:numCache>
                <c:formatCode>mmm\-yyyy</c:formatCode>
                <c:ptCount val="131"/>
                <c:pt idx="0">
                  <c:v>37865</c:v>
                </c:pt>
                <c:pt idx="1">
                  <c:v>37956</c:v>
                </c:pt>
                <c:pt idx="2">
                  <c:v>38047</c:v>
                </c:pt>
                <c:pt idx="3">
                  <c:v>38139</c:v>
                </c:pt>
                <c:pt idx="4">
                  <c:v>38231</c:v>
                </c:pt>
                <c:pt idx="5">
                  <c:v>38322</c:v>
                </c:pt>
                <c:pt idx="6">
                  <c:v>38412</c:v>
                </c:pt>
                <c:pt idx="7">
                  <c:v>38504</c:v>
                </c:pt>
                <c:pt idx="8">
                  <c:v>38596</c:v>
                </c:pt>
                <c:pt idx="9">
                  <c:v>38687</c:v>
                </c:pt>
                <c:pt idx="10">
                  <c:v>38777</c:v>
                </c:pt>
                <c:pt idx="11">
                  <c:v>38869</c:v>
                </c:pt>
                <c:pt idx="12">
                  <c:v>38961</c:v>
                </c:pt>
                <c:pt idx="13">
                  <c:v>39052</c:v>
                </c:pt>
                <c:pt idx="14">
                  <c:v>39142</c:v>
                </c:pt>
                <c:pt idx="15">
                  <c:v>39234</c:v>
                </c:pt>
                <c:pt idx="16">
                  <c:v>39326</c:v>
                </c:pt>
                <c:pt idx="17">
                  <c:v>39417</c:v>
                </c:pt>
                <c:pt idx="18">
                  <c:v>39508</c:v>
                </c:pt>
                <c:pt idx="19">
                  <c:v>39600</c:v>
                </c:pt>
                <c:pt idx="20">
                  <c:v>39692</c:v>
                </c:pt>
                <c:pt idx="21">
                  <c:v>39783</c:v>
                </c:pt>
                <c:pt idx="22">
                  <c:v>39873</c:v>
                </c:pt>
                <c:pt idx="23">
                  <c:v>39965</c:v>
                </c:pt>
                <c:pt idx="24">
                  <c:v>40057</c:v>
                </c:pt>
                <c:pt idx="25">
                  <c:v>40148</c:v>
                </c:pt>
                <c:pt idx="26">
                  <c:v>40238</c:v>
                </c:pt>
                <c:pt idx="27">
                  <c:v>40330</c:v>
                </c:pt>
                <c:pt idx="28">
                  <c:v>40422</c:v>
                </c:pt>
                <c:pt idx="29">
                  <c:v>40513</c:v>
                </c:pt>
                <c:pt idx="30">
                  <c:v>40603</c:v>
                </c:pt>
                <c:pt idx="31">
                  <c:v>40695</c:v>
                </c:pt>
                <c:pt idx="32">
                  <c:v>40787</c:v>
                </c:pt>
                <c:pt idx="33">
                  <c:v>40878</c:v>
                </c:pt>
                <c:pt idx="34">
                  <c:v>40969</c:v>
                </c:pt>
                <c:pt idx="35">
                  <c:v>41061</c:v>
                </c:pt>
                <c:pt idx="36">
                  <c:v>41153</c:v>
                </c:pt>
                <c:pt idx="37">
                  <c:v>41244</c:v>
                </c:pt>
                <c:pt idx="38">
                  <c:v>41334</c:v>
                </c:pt>
                <c:pt idx="39">
                  <c:v>41426</c:v>
                </c:pt>
                <c:pt idx="40">
                  <c:v>41518</c:v>
                </c:pt>
                <c:pt idx="41">
                  <c:v>41609</c:v>
                </c:pt>
                <c:pt idx="42">
                  <c:v>41699</c:v>
                </c:pt>
                <c:pt idx="43">
                  <c:v>41791</c:v>
                </c:pt>
                <c:pt idx="44">
                  <c:v>41883</c:v>
                </c:pt>
                <c:pt idx="45">
                  <c:v>41974</c:v>
                </c:pt>
                <c:pt idx="46">
                  <c:v>42064</c:v>
                </c:pt>
                <c:pt idx="47">
                  <c:v>42156</c:v>
                </c:pt>
                <c:pt idx="48">
                  <c:v>42248</c:v>
                </c:pt>
                <c:pt idx="49">
                  <c:v>42339</c:v>
                </c:pt>
                <c:pt idx="50">
                  <c:v>42430</c:v>
                </c:pt>
                <c:pt idx="51">
                  <c:v>42522</c:v>
                </c:pt>
                <c:pt idx="52">
                  <c:v>42614</c:v>
                </c:pt>
                <c:pt idx="53">
                  <c:v>42705</c:v>
                </c:pt>
              </c:numCache>
            </c:numRef>
          </c:cat>
          <c:val>
            <c:numRef>
              <c:f>'Mineral Exploration Drilling'!$H$9:$H$139</c:f>
              <c:numCache>
                <c:formatCode>_-* #,##0.0_-;\-* #,##0.0_-;_-* "-"??_-;_-@_-</c:formatCode>
                <c:ptCount val="131"/>
                <c:pt idx="0">
                  <c:v>758</c:v>
                </c:pt>
                <c:pt idx="1">
                  <c:v>690</c:v>
                </c:pt>
                <c:pt idx="2">
                  <c:v>596</c:v>
                </c:pt>
                <c:pt idx="3">
                  <c:v>956.6</c:v>
                </c:pt>
                <c:pt idx="4">
                  <c:v>1023.9</c:v>
                </c:pt>
                <c:pt idx="5">
                  <c:v>1045.5999999999999</c:v>
                </c:pt>
                <c:pt idx="6">
                  <c:v>898.7</c:v>
                </c:pt>
                <c:pt idx="7">
                  <c:v>1032.8</c:v>
                </c:pt>
                <c:pt idx="8">
                  <c:v>1099.9000000000001</c:v>
                </c:pt>
                <c:pt idx="9">
                  <c:v>1036.7</c:v>
                </c:pt>
                <c:pt idx="10">
                  <c:v>944.4</c:v>
                </c:pt>
                <c:pt idx="11">
                  <c:v>1138.0999999999999</c:v>
                </c:pt>
                <c:pt idx="12">
                  <c:v>1438.6</c:v>
                </c:pt>
                <c:pt idx="13">
                  <c:v>1199.3</c:v>
                </c:pt>
                <c:pt idx="14">
                  <c:v>1071</c:v>
                </c:pt>
                <c:pt idx="15">
                  <c:v>1505.6</c:v>
                </c:pt>
                <c:pt idx="16">
                  <c:v>1500.8</c:v>
                </c:pt>
                <c:pt idx="17">
                  <c:v>1476</c:v>
                </c:pt>
                <c:pt idx="18">
                  <c:v>1275.4000000000001</c:v>
                </c:pt>
                <c:pt idx="19">
                  <c:v>1583.2</c:v>
                </c:pt>
                <c:pt idx="20">
                  <c:v>1636</c:v>
                </c:pt>
                <c:pt idx="21">
                  <c:v>1444.4</c:v>
                </c:pt>
                <c:pt idx="22">
                  <c:v>888.3</c:v>
                </c:pt>
                <c:pt idx="23">
                  <c:v>1198.7</c:v>
                </c:pt>
                <c:pt idx="24">
                  <c:v>1422</c:v>
                </c:pt>
                <c:pt idx="25">
                  <c:v>1436.6</c:v>
                </c:pt>
                <c:pt idx="26">
                  <c:v>995.8</c:v>
                </c:pt>
                <c:pt idx="27">
                  <c:v>1390.1</c:v>
                </c:pt>
                <c:pt idx="28">
                  <c:v>1555.8</c:v>
                </c:pt>
                <c:pt idx="29">
                  <c:v>1449.3</c:v>
                </c:pt>
                <c:pt idx="30">
                  <c:v>1361.7</c:v>
                </c:pt>
                <c:pt idx="31">
                  <c:v>1896.3</c:v>
                </c:pt>
                <c:pt idx="32">
                  <c:v>2120.3000000000002</c:v>
                </c:pt>
                <c:pt idx="33">
                  <c:v>1947.2</c:v>
                </c:pt>
                <c:pt idx="34">
                  <c:v>1688.8</c:v>
                </c:pt>
                <c:pt idx="35">
                  <c:v>1952.4</c:v>
                </c:pt>
                <c:pt idx="36">
                  <c:v>1771.1</c:v>
                </c:pt>
                <c:pt idx="37">
                  <c:v>1501.6</c:v>
                </c:pt>
                <c:pt idx="38">
                  <c:v>1117.5999999999999</c:v>
                </c:pt>
                <c:pt idx="39">
                  <c:v>1300</c:v>
                </c:pt>
                <c:pt idx="40">
                  <c:v>1253.5999999999999</c:v>
                </c:pt>
                <c:pt idx="41">
                  <c:v>1368.1</c:v>
                </c:pt>
                <c:pt idx="42">
                  <c:v>848.1</c:v>
                </c:pt>
                <c:pt idx="43">
                  <c:v>1386</c:v>
                </c:pt>
                <c:pt idx="44">
                  <c:v>1271.8</c:v>
                </c:pt>
                <c:pt idx="45">
                  <c:v>1121.2</c:v>
                </c:pt>
                <c:pt idx="46">
                  <c:v>898.6</c:v>
                </c:pt>
                <c:pt idx="47">
                  <c:v>1103.3</c:v>
                </c:pt>
                <c:pt idx="48">
                  <c:v>1232.7</c:v>
                </c:pt>
                <c:pt idx="49">
                  <c:v>1240.2</c:v>
                </c:pt>
                <c:pt idx="50">
                  <c:v>994.8</c:v>
                </c:pt>
                <c:pt idx="51">
                  <c:v>1376.4</c:v>
                </c:pt>
                <c:pt idx="52">
                  <c:v>1257.9000000000001</c:v>
                </c:pt>
                <c:pt idx="53">
                  <c:v>1183.9000000000001</c:v>
                </c:pt>
              </c:numCache>
            </c:numRef>
          </c:val>
        </c:ser>
        <c:dLbls>
          <c:showLegendKey val="0"/>
          <c:showVal val="0"/>
          <c:showCatName val="0"/>
          <c:showSerName val="0"/>
          <c:showPercent val="0"/>
          <c:showBubbleSize val="0"/>
        </c:dLbls>
        <c:axId val="95095424"/>
        <c:axId val="95097600"/>
      </c:areaChart>
      <c:lineChart>
        <c:grouping val="standard"/>
        <c:varyColors val="0"/>
        <c:ser>
          <c:idx val="2"/>
          <c:order val="2"/>
          <c:tx>
            <c:strRef>
              <c:f>'Mineral Exploration Drilling'!$P$49</c:f>
              <c:strCache>
                <c:ptCount val="1"/>
                <c:pt idx="0">
                  <c:v>New Deposits (Quarterly average over (Calendar Year)</c:v>
                </c:pt>
              </c:strCache>
            </c:strRef>
          </c:tx>
          <c:spPr>
            <a:ln>
              <a:solidFill>
                <a:schemeClr val="accent6">
                  <a:lumMod val="50000"/>
                </a:schemeClr>
              </a:solidFill>
            </a:ln>
          </c:spPr>
          <c:marker>
            <c:symbol val="none"/>
          </c:marker>
          <c:val>
            <c:numRef>
              <c:f>'Mineral Exploration Drilling'!$J$9:$J$139</c:f>
              <c:numCache>
                <c:formatCode>_-* #,##0.0_-;\-* #,##0.0_-;_-* "-"??_-;_-@_-</c:formatCode>
                <c:ptCount val="131"/>
                <c:pt idx="0">
                  <c:v>641</c:v>
                </c:pt>
                <c:pt idx="1">
                  <c:v>641</c:v>
                </c:pt>
                <c:pt idx="2">
                  <c:v>724.875</c:v>
                </c:pt>
                <c:pt idx="3">
                  <c:v>724.875</c:v>
                </c:pt>
                <c:pt idx="4">
                  <c:v>724.875</c:v>
                </c:pt>
                <c:pt idx="5">
                  <c:v>724.875</c:v>
                </c:pt>
                <c:pt idx="6">
                  <c:v>649.95000000000005</c:v>
                </c:pt>
                <c:pt idx="7">
                  <c:v>649.95000000000005</c:v>
                </c:pt>
                <c:pt idx="8">
                  <c:v>649.95000000000005</c:v>
                </c:pt>
                <c:pt idx="9">
                  <c:v>649.95000000000005</c:v>
                </c:pt>
                <c:pt idx="10">
                  <c:v>753.4</c:v>
                </c:pt>
                <c:pt idx="11">
                  <c:v>753.4</c:v>
                </c:pt>
                <c:pt idx="12">
                  <c:v>753.4</c:v>
                </c:pt>
                <c:pt idx="13">
                  <c:v>753.4</c:v>
                </c:pt>
                <c:pt idx="14">
                  <c:v>888.30000000000007</c:v>
                </c:pt>
                <c:pt idx="15">
                  <c:v>888.30000000000007</c:v>
                </c:pt>
                <c:pt idx="16">
                  <c:v>888.30000000000007</c:v>
                </c:pt>
                <c:pt idx="17">
                  <c:v>888.30000000000007</c:v>
                </c:pt>
                <c:pt idx="18">
                  <c:v>938.77499999999998</c:v>
                </c:pt>
                <c:pt idx="19">
                  <c:v>938.77499999999998</c:v>
                </c:pt>
                <c:pt idx="20">
                  <c:v>938.77499999999998</c:v>
                </c:pt>
                <c:pt idx="21">
                  <c:v>938.77499999999998</c:v>
                </c:pt>
                <c:pt idx="22">
                  <c:v>609</c:v>
                </c:pt>
                <c:pt idx="23">
                  <c:v>609</c:v>
                </c:pt>
                <c:pt idx="24">
                  <c:v>609</c:v>
                </c:pt>
                <c:pt idx="25">
                  <c:v>609</c:v>
                </c:pt>
                <c:pt idx="26">
                  <c:v>829.5</c:v>
                </c:pt>
                <c:pt idx="27">
                  <c:v>829.5</c:v>
                </c:pt>
                <c:pt idx="28">
                  <c:v>829.5</c:v>
                </c:pt>
                <c:pt idx="29">
                  <c:v>829.5</c:v>
                </c:pt>
                <c:pt idx="30">
                  <c:v>910.57500000000005</c:v>
                </c:pt>
                <c:pt idx="31">
                  <c:v>910.57500000000005</c:v>
                </c:pt>
                <c:pt idx="32">
                  <c:v>910.57500000000005</c:v>
                </c:pt>
                <c:pt idx="33">
                  <c:v>910.57500000000005</c:v>
                </c:pt>
                <c:pt idx="34">
                  <c:v>818.625</c:v>
                </c:pt>
                <c:pt idx="35">
                  <c:v>818.625</c:v>
                </c:pt>
                <c:pt idx="36">
                  <c:v>818.625</c:v>
                </c:pt>
                <c:pt idx="37">
                  <c:v>818.625</c:v>
                </c:pt>
                <c:pt idx="38">
                  <c:v>524.5</c:v>
                </c:pt>
                <c:pt idx="39">
                  <c:v>524.5</c:v>
                </c:pt>
                <c:pt idx="40">
                  <c:v>524.5</c:v>
                </c:pt>
                <c:pt idx="41">
                  <c:v>524.5</c:v>
                </c:pt>
                <c:pt idx="42">
                  <c:v>374.47500000000002</c:v>
                </c:pt>
                <c:pt idx="43">
                  <c:v>374.47500000000002</c:v>
                </c:pt>
                <c:pt idx="44">
                  <c:v>374.47500000000002</c:v>
                </c:pt>
                <c:pt idx="45">
                  <c:v>374.47500000000002</c:v>
                </c:pt>
                <c:pt idx="46">
                  <c:v>365.92500000000001</c:v>
                </c:pt>
                <c:pt idx="47">
                  <c:v>365.92500000000001</c:v>
                </c:pt>
                <c:pt idx="48">
                  <c:v>365.92500000000001</c:v>
                </c:pt>
                <c:pt idx="49">
                  <c:v>365.92500000000001</c:v>
                </c:pt>
                <c:pt idx="50">
                  <c:v>480.65000000000003</c:v>
                </c:pt>
                <c:pt idx="52">
                  <c:v>480.65000000000003</c:v>
                </c:pt>
                <c:pt idx="53">
                  <c:v>480.65000000000003</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val>
          <c:smooth val="0"/>
        </c:ser>
        <c:ser>
          <c:idx val="3"/>
          <c:order val="3"/>
          <c:tx>
            <c:strRef>
              <c:f>'Mineral Exploration Drilling'!$P$50</c:f>
              <c:strCache>
                <c:ptCount val="1"/>
                <c:pt idx="0">
                  <c:v>Existing Deposits (Quarterly average over (Calendar Year)</c:v>
                </c:pt>
              </c:strCache>
            </c:strRef>
          </c:tx>
          <c:spPr>
            <a:ln>
              <a:solidFill>
                <a:schemeClr val="accent6">
                  <a:lumMod val="60000"/>
                  <a:lumOff val="40000"/>
                </a:schemeClr>
              </a:solidFill>
            </a:ln>
          </c:spPr>
          <c:marker>
            <c:symbol val="none"/>
          </c:marker>
          <c:val>
            <c:numRef>
              <c:f>'Mineral Exploration Drilling'!$K$9:$K$139</c:f>
              <c:numCache>
                <c:formatCode>_-* #,##0.0_-;\-* #,##0.0_-;_-* "-"??_-;_-@_-</c:formatCode>
                <c:ptCount val="131"/>
                <c:pt idx="0">
                  <c:v>724</c:v>
                </c:pt>
                <c:pt idx="1">
                  <c:v>724</c:v>
                </c:pt>
                <c:pt idx="2">
                  <c:v>905.52499999999998</c:v>
                </c:pt>
                <c:pt idx="3">
                  <c:v>905.52499999999998</c:v>
                </c:pt>
                <c:pt idx="4">
                  <c:v>905.52499999999998</c:v>
                </c:pt>
                <c:pt idx="5">
                  <c:v>905.52499999999998</c:v>
                </c:pt>
                <c:pt idx="6">
                  <c:v>1017.0250000000001</c:v>
                </c:pt>
                <c:pt idx="7">
                  <c:v>1017.0250000000001</c:v>
                </c:pt>
                <c:pt idx="8">
                  <c:v>1017.0250000000001</c:v>
                </c:pt>
                <c:pt idx="9">
                  <c:v>1017.0250000000001</c:v>
                </c:pt>
                <c:pt idx="10">
                  <c:v>1180.0999999999999</c:v>
                </c:pt>
                <c:pt idx="11">
                  <c:v>1180.0999999999999</c:v>
                </c:pt>
                <c:pt idx="12">
                  <c:v>1180.0999999999999</c:v>
                </c:pt>
                <c:pt idx="13">
                  <c:v>1180.0999999999999</c:v>
                </c:pt>
                <c:pt idx="14">
                  <c:v>1388.35</c:v>
                </c:pt>
                <c:pt idx="15">
                  <c:v>1388.35</c:v>
                </c:pt>
                <c:pt idx="16">
                  <c:v>1388.35</c:v>
                </c:pt>
                <c:pt idx="17">
                  <c:v>1388.35</c:v>
                </c:pt>
                <c:pt idx="18">
                  <c:v>1484.75</c:v>
                </c:pt>
                <c:pt idx="19">
                  <c:v>1484.75</c:v>
                </c:pt>
                <c:pt idx="20">
                  <c:v>1484.75</c:v>
                </c:pt>
                <c:pt idx="21">
                  <c:v>1484.75</c:v>
                </c:pt>
                <c:pt idx="22">
                  <c:v>1236.4000000000001</c:v>
                </c:pt>
                <c:pt idx="23">
                  <c:v>1236.4000000000001</c:v>
                </c:pt>
                <c:pt idx="24">
                  <c:v>1236.4000000000001</c:v>
                </c:pt>
                <c:pt idx="25">
                  <c:v>1236.4000000000001</c:v>
                </c:pt>
                <c:pt idx="26">
                  <c:v>1347.75</c:v>
                </c:pt>
                <c:pt idx="27">
                  <c:v>1347.75</c:v>
                </c:pt>
                <c:pt idx="28">
                  <c:v>1347.75</c:v>
                </c:pt>
                <c:pt idx="29">
                  <c:v>1347.75</c:v>
                </c:pt>
                <c:pt idx="30">
                  <c:v>1831.375</c:v>
                </c:pt>
                <c:pt idx="31">
                  <c:v>1831.375</c:v>
                </c:pt>
                <c:pt idx="32">
                  <c:v>1831.375</c:v>
                </c:pt>
                <c:pt idx="33">
                  <c:v>1831.375</c:v>
                </c:pt>
                <c:pt idx="34">
                  <c:v>1728.4749999999999</c:v>
                </c:pt>
                <c:pt idx="35">
                  <c:v>1728.4749999999999</c:v>
                </c:pt>
                <c:pt idx="36">
                  <c:v>1728.4749999999999</c:v>
                </c:pt>
                <c:pt idx="37">
                  <c:v>1728.4749999999999</c:v>
                </c:pt>
                <c:pt idx="38">
                  <c:v>1259.8249999999998</c:v>
                </c:pt>
                <c:pt idx="39">
                  <c:v>1259.8249999999998</c:v>
                </c:pt>
                <c:pt idx="40">
                  <c:v>1259.8249999999998</c:v>
                </c:pt>
                <c:pt idx="41">
                  <c:v>1259.8249999999998</c:v>
                </c:pt>
                <c:pt idx="42">
                  <c:v>1156.7749999999999</c:v>
                </c:pt>
                <c:pt idx="43">
                  <c:v>1156.7749999999999</c:v>
                </c:pt>
                <c:pt idx="44">
                  <c:v>1156.7749999999999</c:v>
                </c:pt>
                <c:pt idx="45">
                  <c:v>1156.7749999999999</c:v>
                </c:pt>
                <c:pt idx="46">
                  <c:v>1118.7</c:v>
                </c:pt>
                <c:pt idx="47">
                  <c:v>1118.7</c:v>
                </c:pt>
                <c:pt idx="48">
                  <c:v>1118.7</c:v>
                </c:pt>
                <c:pt idx="49">
                  <c:v>1118.7</c:v>
                </c:pt>
                <c:pt idx="50">
                  <c:v>1203.25</c:v>
                </c:pt>
                <c:pt idx="52">
                  <c:v>1203.25</c:v>
                </c:pt>
                <c:pt idx="53">
                  <c:v>1203.25</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val>
          <c:smooth val="0"/>
        </c:ser>
        <c:ser>
          <c:idx val="4"/>
          <c:order val="4"/>
          <c:tx>
            <c:strRef>
              <c:f>'Mineral Exploration Drilling'!$P$51</c:f>
              <c:strCache>
                <c:ptCount val="1"/>
                <c:pt idx="0">
                  <c:v>Total (Quarterly average over (Calendar Year)</c:v>
                </c:pt>
              </c:strCache>
            </c:strRef>
          </c:tx>
          <c:spPr>
            <a:ln>
              <a:solidFill>
                <a:srgbClr val="BE5600"/>
              </a:solidFill>
            </a:ln>
          </c:spPr>
          <c:marker>
            <c:symbol val="none"/>
          </c:marker>
          <c:val>
            <c:numRef>
              <c:f>'Mineral Exploration Drilling'!$I$9:$I$139</c:f>
              <c:numCache>
                <c:formatCode>_-* #,##0.0_-;\-* #,##0.0_-;_-* "-"??_-;_-@_-</c:formatCode>
                <c:ptCount val="131"/>
                <c:pt idx="0">
                  <c:v>1365</c:v>
                </c:pt>
                <c:pt idx="1">
                  <c:v>1365</c:v>
                </c:pt>
                <c:pt idx="2">
                  <c:v>1630.3</c:v>
                </c:pt>
                <c:pt idx="3">
                  <c:v>1630.3</c:v>
                </c:pt>
                <c:pt idx="4">
                  <c:v>1630.3</c:v>
                </c:pt>
                <c:pt idx="5">
                  <c:v>1630.3</c:v>
                </c:pt>
                <c:pt idx="6">
                  <c:v>1666.9749999999999</c:v>
                </c:pt>
                <c:pt idx="7">
                  <c:v>1666.9749999999999</c:v>
                </c:pt>
                <c:pt idx="8">
                  <c:v>1666.9749999999999</c:v>
                </c:pt>
                <c:pt idx="9">
                  <c:v>1666.9749999999999</c:v>
                </c:pt>
                <c:pt idx="10">
                  <c:v>1933.4749999999999</c:v>
                </c:pt>
                <c:pt idx="11">
                  <c:v>1933.4749999999999</c:v>
                </c:pt>
                <c:pt idx="12">
                  <c:v>1933.4749999999999</c:v>
                </c:pt>
                <c:pt idx="13">
                  <c:v>1933.4749999999999</c:v>
                </c:pt>
                <c:pt idx="14">
                  <c:v>2276.6749999999997</c:v>
                </c:pt>
                <c:pt idx="15">
                  <c:v>2276.6749999999997</c:v>
                </c:pt>
                <c:pt idx="16">
                  <c:v>2276.6749999999997</c:v>
                </c:pt>
                <c:pt idx="17">
                  <c:v>2276.6749999999997</c:v>
                </c:pt>
                <c:pt idx="18">
                  <c:v>2423.5250000000001</c:v>
                </c:pt>
                <c:pt idx="19">
                  <c:v>2423.5250000000001</c:v>
                </c:pt>
                <c:pt idx="20">
                  <c:v>2423.5250000000001</c:v>
                </c:pt>
                <c:pt idx="21">
                  <c:v>2423.5250000000001</c:v>
                </c:pt>
                <c:pt idx="22">
                  <c:v>1845.375</c:v>
                </c:pt>
                <c:pt idx="23">
                  <c:v>1845.375</c:v>
                </c:pt>
                <c:pt idx="24">
                  <c:v>1845.375</c:v>
                </c:pt>
                <c:pt idx="25">
                  <c:v>1845.375</c:v>
                </c:pt>
                <c:pt idx="26">
                  <c:v>2177.25</c:v>
                </c:pt>
                <c:pt idx="27">
                  <c:v>2177.25</c:v>
                </c:pt>
                <c:pt idx="28">
                  <c:v>2177.25</c:v>
                </c:pt>
                <c:pt idx="29">
                  <c:v>2177.25</c:v>
                </c:pt>
                <c:pt idx="30">
                  <c:v>2741.9</c:v>
                </c:pt>
                <c:pt idx="31">
                  <c:v>2741.9</c:v>
                </c:pt>
                <c:pt idx="32">
                  <c:v>2741.9</c:v>
                </c:pt>
                <c:pt idx="33">
                  <c:v>2741.9</c:v>
                </c:pt>
                <c:pt idx="34">
                  <c:v>2547.0749999999998</c:v>
                </c:pt>
                <c:pt idx="35">
                  <c:v>2547.0749999999998</c:v>
                </c:pt>
                <c:pt idx="36">
                  <c:v>2547.0749999999998</c:v>
                </c:pt>
                <c:pt idx="37">
                  <c:v>2547.0749999999998</c:v>
                </c:pt>
                <c:pt idx="38">
                  <c:v>1784.3000000000002</c:v>
                </c:pt>
                <c:pt idx="39">
                  <c:v>1784.3000000000002</c:v>
                </c:pt>
                <c:pt idx="40">
                  <c:v>1784.3000000000002</c:v>
                </c:pt>
                <c:pt idx="41">
                  <c:v>1784.3000000000002</c:v>
                </c:pt>
                <c:pt idx="42">
                  <c:v>1531.25</c:v>
                </c:pt>
                <c:pt idx="43">
                  <c:v>1531.25</c:v>
                </c:pt>
                <c:pt idx="44">
                  <c:v>1531.25</c:v>
                </c:pt>
                <c:pt idx="45">
                  <c:v>1531.25</c:v>
                </c:pt>
                <c:pt idx="46">
                  <c:v>1484.175</c:v>
                </c:pt>
                <c:pt idx="47">
                  <c:v>1484.175</c:v>
                </c:pt>
                <c:pt idx="48">
                  <c:v>1484.175</c:v>
                </c:pt>
                <c:pt idx="49">
                  <c:v>1484.175</c:v>
                </c:pt>
                <c:pt idx="50">
                  <c:v>1683.85</c:v>
                </c:pt>
                <c:pt idx="52">
                  <c:v>1683.85</c:v>
                </c:pt>
                <c:pt idx="53">
                  <c:v>1683.85</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val>
          <c:smooth val="0"/>
        </c:ser>
        <c:dLbls>
          <c:showLegendKey val="0"/>
          <c:showVal val="0"/>
          <c:showCatName val="0"/>
          <c:showSerName val="0"/>
          <c:showPercent val="0"/>
          <c:showBubbleSize val="0"/>
        </c:dLbls>
        <c:marker val="1"/>
        <c:smooth val="0"/>
        <c:axId val="95095424"/>
        <c:axId val="95097600"/>
      </c:lineChart>
      <c:dateAx>
        <c:axId val="95095424"/>
        <c:scaling>
          <c:orientation val="minMax"/>
          <c:min val="37987"/>
        </c:scaling>
        <c:delete val="0"/>
        <c:axPos val="b"/>
        <c:title>
          <c:tx>
            <c:rich>
              <a:bodyPr/>
              <a:lstStyle/>
              <a:p>
                <a:pPr>
                  <a:defRPr/>
                </a:pPr>
                <a:r>
                  <a:rPr lang="en-AU"/>
                  <a:t>Source:</a:t>
                </a:r>
                <a:r>
                  <a:rPr lang="en-AU" baseline="0"/>
                  <a:t> ABS</a:t>
                </a:r>
                <a:endParaRPr lang="en-AU"/>
              </a:p>
            </c:rich>
          </c:tx>
          <c:layout>
            <c:manualLayout>
              <c:xMode val="edge"/>
              <c:yMode val="edge"/>
              <c:x val="1.2369092555426354E-2"/>
              <c:y val="0.95985977656407406"/>
            </c:manualLayout>
          </c:layout>
          <c:overlay val="0"/>
        </c:title>
        <c:numFmt formatCode="mmm\-yyyy" sourceLinked="1"/>
        <c:majorTickMark val="out"/>
        <c:minorTickMark val="none"/>
        <c:tickLblPos val="nextTo"/>
        <c:crossAx val="95097600"/>
        <c:crosses val="autoZero"/>
        <c:auto val="1"/>
        <c:lblOffset val="100"/>
        <c:baseTimeUnit val="months"/>
        <c:majorUnit val="6"/>
        <c:majorTimeUnit val="months"/>
      </c:dateAx>
      <c:valAx>
        <c:axId val="95097600"/>
        <c:scaling>
          <c:orientation val="minMax"/>
        </c:scaling>
        <c:delete val="0"/>
        <c:axPos val="l"/>
        <c:majorGridlines/>
        <c:numFmt formatCode="_-* #,##0.0_-;\-* #,##0.0_-;_-* &quot;-&quot;??_-;_-@_-" sourceLinked="1"/>
        <c:majorTickMark val="out"/>
        <c:minorTickMark val="none"/>
        <c:tickLblPos val="nextTo"/>
        <c:crossAx val="95095424"/>
        <c:crosses val="autoZero"/>
        <c:crossBetween val="between"/>
      </c:valAx>
    </c:plotArea>
    <c:legend>
      <c:legendPos val="b"/>
      <c:layout>
        <c:manualLayout>
          <c:xMode val="edge"/>
          <c:yMode val="edge"/>
          <c:x val="3.727908523218523E-3"/>
          <c:y val="0.83708187079024765"/>
          <c:w val="0.9923833482243245"/>
          <c:h val="0.13298747295142324"/>
        </c:manualLayout>
      </c:layout>
      <c:overlay val="0"/>
    </c:legend>
    <c:plotVisOnly val="1"/>
    <c:dispBlanksAs val="zero"/>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b="1" i="0" baseline="0">
                <a:effectLst/>
              </a:rPr>
              <a:t>Western Australia's share of Australia petroleum exploration expenditure</a:t>
            </a:r>
            <a:endParaRPr lang="en-AU" sz="1300">
              <a:effectLst/>
            </a:endParaRPr>
          </a:p>
          <a:p>
            <a:pPr>
              <a:defRPr/>
            </a:pPr>
            <a:r>
              <a:rPr lang="en-AU" sz="900"/>
              <a:t>Last 10 calendar years</a:t>
            </a:r>
          </a:p>
        </c:rich>
      </c:tx>
      <c:overlay val="0"/>
    </c:title>
    <c:autoTitleDeleted val="0"/>
    <c:plotArea>
      <c:layout/>
      <c:barChart>
        <c:barDir val="col"/>
        <c:grouping val="stacked"/>
        <c:varyColors val="0"/>
        <c:ser>
          <c:idx val="1"/>
          <c:order val="0"/>
          <c:tx>
            <c:strRef>
              <c:f>'Petroleum Exploration'!$O$8</c:f>
              <c:strCache>
                <c:ptCount val="1"/>
                <c:pt idx="0">
                  <c:v>Western Australia (A$ Million)</c:v>
                </c:pt>
              </c:strCache>
            </c:strRef>
          </c:tx>
          <c:invertIfNegative val="0"/>
          <c:cat>
            <c:numRef>
              <c:f>'Petroleum Exploration'!$N$9:$N$18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'Petroleum Exploration'!$O$9:$O$18</c:f>
              <c:numCache>
                <c:formatCode>0</c:formatCode>
                <c:ptCount val="10"/>
                <c:pt idx="0">
                  <c:v>1904.1000000000001</c:v>
                </c:pt>
                <c:pt idx="1">
                  <c:v>2454</c:v>
                </c:pt>
                <c:pt idx="2">
                  <c:v>2752.3999999999996</c:v>
                </c:pt>
                <c:pt idx="3">
                  <c:v>2495.3000000000002</c:v>
                </c:pt>
                <c:pt idx="4">
                  <c:v>2345.8000000000002</c:v>
                </c:pt>
                <c:pt idx="5">
                  <c:v>2756.6000000000004</c:v>
                </c:pt>
                <c:pt idx="6">
                  <c:v>2984.2000000000003</c:v>
                </c:pt>
                <c:pt idx="7">
                  <c:v>2757.9</c:v>
                </c:pt>
                <c:pt idx="8">
                  <c:v>1617.1</c:v>
                </c:pt>
                <c:pt idx="9">
                  <c:v>995.99999999999989</c:v>
                </c:pt>
              </c:numCache>
            </c:numRef>
          </c:val>
        </c:ser>
        <c:ser>
          <c:idx val="2"/>
          <c:order val="1"/>
          <c:tx>
            <c:strRef>
              <c:f>'Petroleum Exploration'!$P$8</c:f>
              <c:strCache>
                <c:ptCount val="1"/>
                <c:pt idx="0">
                  <c:v>Rest of Australia (A$ Million)</c:v>
                </c:pt>
              </c:strCache>
            </c:strRef>
          </c:tx>
          <c:invertIfNegative val="0"/>
          <c:cat>
            <c:numRef>
              <c:f>'Petroleum Exploration'!$N$9:$N$18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'Petroleum Exploration'!$P$9:$P$18</c:f>
              <c:numCache>
                <c:formatCode>0</c:formatCode>
                <c:ptCount val="10"/>
                <c:pt idx="0">
                  <c:v>756.59999999999968</c:v>
                </c:pt>
                <c:pt idx="1">
                  <c:v>907.29999999999973</c:v>
                </c:pt>
                <c:pt idx="2">
                  <c:v>888.30000000000018</c:v>
                </c:pt>
                <c:pt idx="3">
                  <c:v>1074.0999999999999</c:v>
                </c:pt>
                <c:pt idx="4">
                  <c:v>946.80000000000018</c:v>
                </c:pt>
                <c:pt idx="5">
                  <c:v>1245.7999999999997</c:v>
                </c:pt>
                <c:pt idx="6">
                  <c:v>1545.2000000000003</c:v>
                </c:pt>
                <c:pt idx="7">
                  <c:v>1980.9999999999995</c:v>
                </c:pt>
                <c:pt idx="8">
                  <c:v>1106.2000000000003</c:v>
                </c:pt>
                <c:pt idx="9">
                  <c:v>405.70000000000016</c:v>
                </c:pt>
              </c:numCache>
            </c:numRef>
          </c:val>
        </c:ser>
        <c:dLbls>
          <c:showLegendKey val="0"/>
          <c:showVal val="0"/>
          <c:showCatName val="0"/>
          <c:showSerName val="0"/>
          <c:showPercent val="0"/>
          <c:showBubbleSize val="0"/>
        </c:dLbls>
        <c:gapWidth val="150"/>
        <c:overlap val="100"/>
        <c:axId val="95156096"/>
        <c:axId val="93388800"/>
      </c:barChart>
      <c:catAx>
        <c:axId val="95156096"/>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93388800"/>
        <c:crosses val="autoZero"/>
        <c:auto val="1"/>
        <c:lblAlgn val="ctr"/>
        <c:lblOffset val="100"/>
        <c:noMultiLvlLbl val="0"/>
      </c:catAx>
      <c:valAx>
        <c:axId val="93388800"/>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95156096"/>
        <c:crosses val="autoZero"/>
        <c:crossBetween val="between"/>
      </c:valAx>
    </c:plotArea>
    <c:legend>
      <c:legendPos val="l"/>
      <c:layout>
        <c:manualLayout>
          <c:xMode val="edge"/>
          <c:yMode val="edge"/>
          <c:x val="0.16841937396066661"/>
          <c:y val="0.23241786041805015"/>
          <c:w val="0.33672327103690353"/>
          <c:h val="0.23359769787812668"/>
        </c:manualLayout>
      </c:layout>
      <c:overlay val="1"/>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 of Australia's petroleum exploration expenditure</a:t>
            </a:r>
          </a:p>
          <a:p>
            <a:pPr>
              <a:defRPr/>
            </a:pPr>
            <a:r>
              <a:rPr lang="en-AU" sz="900"/>
              <a:t>Last 10 financial years</a:t>
            </a:r>
          </a:p>
        </c:rich>
      </c:tx>
      <c:overlay val="0"/>
    </c:title>
    <c:autoTitleDeleted val="0"/>
    <c:plotArea>
      <c:layout/>
      <c:barChart>
        <c:barDir val="col"/>
        <c:grouping val="stacked"/>
        <c:varyColors val="0"/>
        <c:ser>
          <c:idx val="1"/>
          <c:order val="0"/>
          <c:tx>
            <c:strRef>
              <c:f>'Petroleum Exploration'!$U$8</c:f>
              <c:strCache>
                <c:ptCount val="1"/>
                <c:pt idx="0">
                  <c:v>Western Australia (A$ Million)</c:v>
                </c:pt>
              </c:strCache>
            </c:strRef>
          </c:tx>
          <c:invertIfNegative val="0"/>
          <c:dPt>
            <c:idx val="9"/>
            <c:invertIfNegative val="0"/>
            <c:bubble3D val="0"/>
            <c:spPr>
              <a:solidFill>
                <a:schemeClr val="accent6"/>
              </a:solidFill>
            </c:spPr>
          </c:dPt>
          <c:cat>
            <c:strRef>
              <c:f>'Petroleum Exploration'!$T$9:$T$18</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'Petroleum Exploration'!$U$9:$U$18</c:f>
              <c:numCache>
                <c:formatCode>0</c:formatCode>
                <c:ptCount val="10"/>
                <c:pt idx="0">
                  <c:v>1480.9</c:v>
                </c:pt>
                <c:pt idx="1">
                  <c:v>2174.8000000000002</c:v>
                </c:pt>
                <c:pt idx="2">
                  <c:v>2945.2</c:v>
                </c:pt>
                <c:pt idx="3">
                  <c:v>2484.6</c:v>
                </c:pt>
                <c:pt idx="4">
                  <c:v>2402.3000000000002</c:v>
                </c:pt>
                <c:pt idx="5">
                  <c:v>2117.2000000000003</c:v>
                </c:pt>
                <c:pt idx="6">
                  <c:v>3293.7999999999997</c:v>
                </c:pt>
                <c:pt idx="7">
                  <c:v>2990.6000000000004</c:v>
                </c:pt>
                <c:pt idx="8">
                  <c:v>2068.9</c:v>
                </c:pt>
                <c:pt idx="9">
                  <c:v>1297.4000000000001</c:v>
                </c:pt>
              </c:numCache>
            </c:numRef>
          </c:val>
        </c:ser>
        <c:ser>
          <c:idx val="2"/>
          <c:order val="1"/>
          <c:tx>
            <c:strRef>
              <c:f>'Petroleum Exploration'!$V$8</c:f>
              <c:strCache>
                <c:ptCount val="1"/>
                <c:pt idx="0">
                  <c:v>Rest of Australia (A$ Million)</c:v>
                </c:pt>
              </c:strCache>
            </c:strRef>
          </c:tx>
          <c:invertIfNegative val="0"/>
          <c:dPt>
            <c:idx val="9"/>
            <c:invertIfNegative val="0"/>
            <c:bubble3D val="0"/>
            <c:spPr>
              <a:solidFill>
                <a:schemeClr val="accent6">
                  <a:lumMod val="40000"/>
                  <a:lumOff val="60000"/>
                </a:schemeClr>
              </a:solidFill>
            </c:spPr>
          </c:dPt>
          <c:cat>
            <c:strRef>
              <c:f>'Petroleum Exploration'!$T$9:$T$18</c:f>
              <c:strCache>
                <c:ptCount val="10"/>
                <c:pt idx="0">
                  <c:v>2006-2007</c:v>
                </c:pt>
                <c:pt idx="1">
                  <c:v>2007-2008</c:v>
                </c:pt>
                <c:pt idx="2">
                  <c:v>2008-2009</c:v>
                </c:pt>
                <c:pt idx="3">
                  <c:v>2009-2010</c:v>
                </c:pt>
                <c:pt idx="4">
                  <c:v>2010-2011</c:v>
                </c:pt>
                <c:pt idx="5">
                  <c:v>2011-2012</c:v>
                </c:pt>
                <c:pt idx="6">
                  <c:v>2012-2013</c:v>
                </c:pt>
                <c:pt idx="7">
                  <c:v>2013-2014</c:v>
                </c:pt>
                <c:pt idx="8">
                  <c:v>2014-2015</c:v>
                </c:pt>
                <c:pt idx="9">
                  <c:v>2015-2016</c:v>
                </c:pt>
              </c:strCache>
            </c:strRef>
          </c:cat>
          <c:val>
            <c:numRef>
              <c:f>'Petroleum Exploration'!$V$9:$V$18</c:f>
              <c:numCache>
                <c:formatCode>0</c:formatCode>
                <c:ptCount val="10"/>
                <c:pt idx="0">
                  <c:v>744.59999999999991</c:v>
                </c:pt>
                <c:pt idx="1">
                  <c:v>860.09999999999945</c:v>
                </c:pt>
                <c:pt idx="2">
                  <c:v>865.5</c:v>
                </c:pt>
                <c:pt idx="3">
                  <c:v>1009.5000000000005</c:v>
                </c:pt>
                <c:pt idx="4">
                  <c:v>913.09999999999991</c:v>
                </c:pt>
                <c:pt idx="5">
                  <c:v>1079.7999999999997</c:v>
                </c:pt>
                <c:pt idx="6">
                  <c:v>1499.6</c:v>
                </c:pt>
                <c:pt idx="7">
                  <c:v>1833.8999999999996</c:v>
                </c:pt>
                <c:pt idx="8">
                  <c:v>1722.5</c:v>
                </c:pt>
                <c:pt idx="9">
                  <c:v>478.79999999999973</c:v>
                </c:pt>
              </c:numCache>
            </c:numRef>
          </c:val>
        </c:ser>
        <c:dLbls>
          <c:showLegendKey val="0"/>
          <c:showVal val="0"/>
          <c:showCatName val="0"/>
          <c:showSerName val="0"/>
          <c:showPercent val="0"/>
          <c:showBubbleSize val="0"/>
        </c:dLbls>
        <c:gapWidth val="150"/>
        <c:overlap val="100"/>
        <c:axId val="93431680"/>
        <c:axId val="93433856"/>
      </c:barChart>
      <c:catAx>
        <c:axId val="93431680"/>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0" sourceLinked="1"/>
        <c:majorTickMark val="out"/>
        <c:minorTickMark val="none"/>
        <c:tickLblPos val="nextTo"/>
        <c:crossAx val="93433856"/>
        <c:crosses val="autoZero"/>
        <c:auto val="1"/>
        <c:lblAlgn val="ctr"/>
        <c:lblOffset val="100"/>
        <c:noMultiLvlLbl val="0"/>
      </c:catAx>
      <c:valAx>
        <c:axId val="93433856"/>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93431680"/>
        <c:crosses val="autoZero"/>
        <c:crossBetween val="between"/>
      </c:valAx>
    </c:plotArea>
    <c:legend>
      <c:legendPos val="l"/>
      <c:layout>
        <c:manualLayout>
          <c:xMode val="edge"/>
          <c:yMode val="edge"/>
          <c:x val="0.15750465568885838"/>
          <c:y val="0.21995715400439811"/>
          <c:w val="0.33672327103690353"/>
          <c:h val="0.21371270483081506"/>
        </c:manualLayout>
      </c:layout>
      <c:overlay val="1"/>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'Royalty Receipts - Latest'!$A$6:$E$6</c:f>
          <c:strCache>
            <c:ptCount val="1"/>
            <c:pt idx="0">
              <c:v>Royalty Receipts and North West Shelf Grants 2015 and 2016</c:v>
            </c:pt>
          </c:strCache>
        </c:strRef>
      </c:tx>
      <c:overlay val="0"/>
      <c:txPr>
        <a:bodyPr/>
        <a:lstStyle/>
        <a:p>
          <a:pPr>
            <a:defRPr/>
          </a:pPr>
          <a:endParaRPr lang="en-US"/>
        </a:p>
      </c:txPr>
    </c:title>
    <c:autoTitleDeleted val="0"/>
    <c:plotArea>
      <c:layout/>
      <c:ofPieChart>
        <c:ofPieType val="pie"/>
        <c:varyColors val="1"/>
        <c:ser>
          <c:idx val="0"/>
          <c:order val="0"/>
          <c:dLbls>
            <c:numFmt formatCode="0.0%" sourceLinked="0"/>
            <c:dLblPos val="bestFit"/>
            <c:showLegendKey val="0"/>
            <c:showVal val="0"/>
            <c:showCatName val="1"/>
            <c:showSerName val="0"/>
            <c:showPercent val="1"/>
            <c:showBubbleSize val="0"/>
            <c:showLeaderLines val="0"/>
          </c:dLbls>
          <c:cat>
            <c:strRef>
              <c:f>('Royalty Receipts - Latest'!$A$9:$A$17,'Royalty Receipts - Latest'!$A$19)</c:f>
              <c:strCache>
                <c:ptCount val="10"/>
                <c:pt idx="0">
                  <c:v>Alumina</c:v>
                </c:pt>
                <c:pt idx="1">
                  <c:v>Copper, Lead &amp; Zinc</c:v>
                </c:pt>
                <c:pt idx="2">
                  <c:v>Diamonds</c:v>
                </c:pt>
                <c:pt idx="3">
                  <c:v>Gold</c:v>
                </c:pt>
                <c:pt idx="4">
                  <c:v>Mineral sands</c:v>
                </c:pt>
                <c:pt idx="5">
                  <c:v>Iron ore</c:v>
                </c:pt>
                <c:pt idx="6">
                  <c:v>Nickel</c:v>
                </c:pt>
                <c:pt idx="7">
                  <c:v>Petroleum *</c:v>
                </c:pt>
                <c:pt idx="8">
                  <c:v>Other</c:v>
                </c:pt>
                <c:pt idx="9">
                  <c:v>North West Shelf Grants</c:v>
                </c:pt>
              </c:strCache>
            </c:strRef>
          </c:cat>
          <c:val>
            <c:numRef>
              <c:f>('Royalty Receipts - Latest'!$C$9:$C$17,'Royalty Receipts - Latest'!$C$19)</c:f>
              <c:numCache>
                <c:formatCode>#,##0</c:formatCode>
                <c:ptCount val="10"/>
                <c:pt idx="0">
                  <c:v>77258852</c:v>
                </c:pt>
                <c:pt idx="1">
                  <c:v>50729916</c:v>
                </c:pt>
                <c:pt idx="2">
                  <c:v>15668356</c:v>
                </c:pt>
                <c:pt idx="3">
                  <c:v>254833570</c:v>
                </c:pt>
                <c:pt idx="4">
                  <c:v>17110662</c:v>
                </c:pt>
                <c:pt idx="5">
                  <c:v>3642503531</c:v>
                </c:pt>
                <c:pt idx="6">
                  <c:v>47413266</c:v>
                </c:pt>
                <c:pt idx="7">
                  <c:v>3419612</c:v>
                </c:pt>
                <c:pt idx="8">
                  <c:v>60905515.700000003</c:v>
                </c:pt>
                <c:pt idx="9">
                  <c:v>567044756</c:v>
                </c:pt>
              </c:numCache>
            </c:numRef>
          </c:val>
        </c:ser>
        <c:dLbls>
          <c:dLblPos val="bestFit"/>
          <c:showLegendKey val="0"/>
          <c:showVal val="0"/>
          <c:showCatName val="1"/>
          <c:showSerName val="0"/>
          <c:showPercent val="1"/>
          <c:showBubbleSize val="0"/>
          <c:showLeaderLines val="0"/>
        </c:dLbls>
        <c:gapWidth val="30"/>
        <c:splitType val="percent"/>
        <c:splitPos val="10"/>
        <c:secondPieSize val="75"/>
        <c:serLines/>
      </c:ofPieChart>
    </c:plotArea>
    <c:plotVisOnly val="1"/>
    <c:dispBlanksAs val="gap"/>
    <c:showDLblsOverMax val="0"/>
  </c:chart>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'Royalty Receipts - Latest'!$M$17</c:f>
          <c:strCache>
            <c:ptCount val="1"/>
            <c:pt idx="0">
              <c:v>Revenue Growth
2015 to 2016</c:v>
            </c:pt>
          </c:strCache>
        </c:strRef>
      </c:tx>
      <c:overlay val="0"/>
    </c:title>
    <c:autoTitleDeleted val="0"/>
    <c:plotArea>
      <c:layout/>
      <c:barChart>
        <c:barDir val="col"/>
        <c:grouping val="clustered"/>
        <c:varyColors val="0"/>
        <c:ser>
          <c:idx val="0"/>
          <c:order val="0"/>
          <c:invertIfNegative val="0"/>
          <c:dPt>
            <c:idx val="10"/>
            <c:invertIfNegative val="0"/>
            <c:bubble3D val="0"/>
            <c:spPr>
              <a:solidFill>
                <a:schemeClr val="accent3">
                  <a:lumMod val="50000"/>
                </a:schemeClr>
              </a:solidFill>
            </c:spPr>
          </c:dPt>
          <c:cat>
            <c:strRef>
              <c:f>('Royalty Receipts - Latest'!$A$9:$A$17,'Royalty Receipts - Latest'!$A$19,'Royalty Receipts - Latest'!$A$20)</c:f>
              <c:strCache>
                <c:ptCount val="11"/>
                <c:pt idx="0">
                  <c:v>Alumina</c:v>
                </c:pt>
                <c:pt idx="1">
                  <c:v>Copper, Lead &amp; Zinc</c:v>
                </c:pt>
                <c:pt idx="2">
                  <c:v>Diamonds</c:v>
                </c:pt>
                <c:pt idx="3">
                  <c:v>Gold</c:v>
                </c:pt>
                <c:pt idx="4">
                  <c:v>Mineral sands</c:v>
                </c:pt>
                <c:pt idx="5">
                  <c:v>Iron ore</c:v>
                </c:pt>
                <c:pt idx="6">
                  <c:v>Nickel</c:v>
                </c:pt>
                <c:pt idx="7">
                  <c:v>Petroleum *</c:v>
                </c:pt>
                <c:pt idx="8">
                  <c:v>Other</c:v>
                </c:pt>
                <c:pt idx="9">
                  <c:v>North West Shelf Grants</c:v>
                </c:pt>
                <c:pt idx="10">
                  <c:v>Total revenue</c:v>
                </c:pt>
              </c:strCache>
            </c:strRef>
          </c:cat>
          <c:val>
            <c:numRef>
              <c:f>('Royalty Receipts - Latest'!$E$9:$E$17,'Royalty Receipts - Latest'!$E$19,'Royalty Receipts - Latest'!$E$20)</c:f>
              <c:numCache>
                <c:formatCode>0.0%</c:formatCode>
                <c:ptCount val="11"/>
                <c:pt idx="0">
                  <c:v>-0.11937094019525681</c:v>
                </c:pt>
                <c:pt idx="1">
                  <c:v>-0.26856909761174225</c:v>
                </c:pt>
                <c:pt idx="2">
                  <c:v>-1.8517512781439253E-2</c:v>
                </c:pt>
                <c:pt idx="3">
                  <c:v>0.11426610638533002</c:v>
                </c:pt>
                <c:pt idx="4">
                  <c:v>0.32618605352685964</c:v>
                </c:pt>
                <c:pt idx="5">
                  <c:v>-5.7186887964515577E-2</c:v>
                </c:pt>
                <c:pt idx="6">
                  <c:v>-0.2877978661724826</c:v>
                </c:pt>
                <c:pt idx="7">
                  <c:v>-0.61941434131566919</c:v>
                </c:pt>
                <c:pt idx="8">
                  <c:v>-0.20036836310376335</c:v>
                </c:pt>
                <c:pt idx="9">
                  <c:v>-0.23661778808768313</c:v>
                </c:pt>
                <c:pt idx="10">
                  <c:v>-8.4239553048894106E-2</c:v>
                </c:pt>
              </c:numCache>
            </c:numRef>
          </c:val>
        </c:ser>
        <c:dLbls>
          <c:showLegendKey val="0"/>
          <c:showVal val="0"/>
          <c:showCatName val="0"/>
          <c:showSerName val="0"/>
          <c:showPercent val="0"/>
          <c:showBubbleSize val="0"/>
        </c:dLbls>
        <c:gapWidth val="150"/>
        <c:axId val="94937088"/>
        <c:axId val="94938624"/>
      </c:barChart>
      <c:catAx>
        <c:axId val="94937088"/>
        <c:scaling>
          <c:orientation val="minMax"/>
        </c:scaling>
        <c:delete val="0"/>
        <c:axPos val="b"/>
        <c:majorTickMark val="none"/>
        <c:minorTickMark val="none"/>
        <c:tickLblPos val="low"/>
        <c:crossAx val="94938624"/>
        <c:crosses val="autoZero"/>
        <c:auto val="1"/>
        <c:lblAlgn val="ctr"/>
        <c:lblOffset val="100"/>
        <c:noMultiLvlLbl val="0"/>
      </c:catAx>
      <c:valAx>
        <c:axId val="94938624"/>
        <c:scaling>
          <c:orientation val="minMax"/>
        </c:scaling>
        <c:delete val="0"/>
        <c:axPos val="l"/>
        <c:majorGridlines/>
        <c:numFmt formatCode="0.0%" sourceLinked="1"/>
        <c:majorTickMark val="none"/>
        <c:minorTickMark val="none"/>
        <c:tickLblPos val="nextTo"/>
        <c:crossAx val="94937088"/>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en-AU"/>
              <a:t>Direct employment in Western</a:t>
            </a:r>
            <a:r>
              <a:rPr lang="en-AU" baseline="0"/>
              <a:t> Australia's mineral sector b</a:t>
            </a:r>
            <a:r>
              <a:rPr lang="en-AU"/>
              <a:t>y commodity</a:t>
            </a:r>
          </a:p>
        </c:rich>
      </c:tx>
      <c:overlay val="0"/>
    </c:title>
    <c:autoTitleDeleted val="0"/>
    <c:plotArea>
      <c:layout/>
      <c:pie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Lbls>
            <c:dLbl>
              <c:idx val="4"/>
              <c:dLblPos val="bestFit"/>
              <c:showLegendKey val="0"/>
              <c:showVal val="0"/>
              <c:showCatName val="1"/>
              <c:showSerName val="0"/>
              <c:showPercent val="1"/>
              <c:showBubbleSize val="0"/>
            </c:dLbl>
            <c:numFmt formatCode="0%" sourceLinked="0"/>
            <c:showLegendKey val="0"/>
            <c:showVal val="0"/>
            <c:showCatName val="1"/>
            <c:showSerName val="0"/>
            <c:showPercent val="1"/>
            <c:showBubbleSize val="0"/>
            <c:showLeaderLines val="0"/>
          </c:dLbls>
          <c:cat>
            <c:strRef>
              <c:f>'Employment by commodity'!$A$9:$A$21</c:f>
              <c:strCache>
                <c:ptCount val="11"/>
                <c:pt idx="0">
                  <c:v>Base metals</c:v>
                </c:pt>
                <c:pt idx="1">
                  <c:v>Bauxite - Alumina</c:v>
                </c:pt>
                <c:pt idx="2">
                  <c:v>Coal</c:v>
                </c:pt>
                <c:pt idx="3">
                  <c:v>Diamond</c:v>
                </c:pt>
                <c:pt idx="4">
                  <c:v>Gold</c:v>
                </c:pt>
                <c:pt idx="5">
                  <c:v>Mineral sands</c:v>
                </c:pt>
                <c:pt idx="6">
                  <c:v>Iron ore</c:v>
                </c:pt>
                <c:pt idx="7">
                  <c:v>Tin, Tantalum and Lithium</c:v>
                </c:pt>
                <c:pt idx="8">
                  <c:v>Nickel</c:v>
                </c:pt>
                <c:pt idx="9">
                  <c:v>Salt</c:v>
                </c:pt>
                <c:pt idx="10">
                  <c:v>Other (Excl. Exploration)</c:v>
                </c:pt>
              </c:strCache>
            </c:strRef>
          </c:cat>
          <c:val>
            <c:numRef>
              <c:f>'Employment by commodity'!$B$9:$B$21</c:f>
              <c:numCache>
                <c:formatCode>#,##0_);[Red]\(#,##0\)</c:formatCode>
                <c:ptCount val="11"/>
                <c:pt idx="0">
                  <c:v>2225.1666666666665</c:v>
                </c:pt>
                <c:pt idx="1">
                  <c:v>6715.416666666667</c:v>
                </c:pt>
                <c:pt idx="2">
                  <c:v>1107.5</c:v>
                </c:pt>
                <c:pt idx="3">
                  <c:v>873</c:v>
                </c:pt>
                <c:pt idx="4">
                  <c:v>25494.833333333332</c:v>
                </c:pt>
                <c:pt idx="5">
                  <c:v>2396.5</c:v>
                </c:pt>
                <c:pt idx="6">
                  <c:v>52315.416666666664</c:v>
                </c:pt>
                <c:pt idx="7">
                  <c:v>888.25</c:v>
                </c:pt>
                <c:pt idx="8">
                  <c:v>5444.333333333333</c:v>
                </c:pt>
                <c:pt idx="9">
                  <c:v>794.08333333333337</c:v>
                </c:pt>
                <c:pt idx="10">
                  <c:v>6548.583333333343</c:v>
                </c:pt>
              </c:numCache>
            </c:numRef>
          </c:val>
        </c:ser>
        <c:dLbls>
          <c:showLegendKey val="0"/>
          <c:showVal val="0"/>
          <c:showCatName val="1"/>
          <c:showSerName val="0"/>
          <c:showPercent val="1"/>
          <c:showBubbleSize val="0"/>
          <c:showLeaderLines val="0"/>
        </c:dLbls>
        <c:firstSliceAng val="228"/>
      </c:pieChart>
    </c:plotArea>
    <c:plotVisOnly val="1"/>
    <c:dispBlanksAs val="zero"/>
    <c:showDLblsOverMax val="0"/>
  </c:chart>
  <c:printSettings>
    <c:headerFooter alignWithMargins="0"/>
    <c:pageMargins b="1" l="0.75000000000000344" r="0.75000000000000344" t="1" header="0.5" footer="0.5"/>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WA Mining Employment</a:t>
            </a:r>
          </a:p>
          <a:p>
            <a:pPr>
              <a:defRPr/>
            </a:pPr>
            <a:r>
              <a:rPr lang="en-US" sz="1100"/>
              <a:t>2001 to Present</a:t>
            </a:r>
            <a:endParaRPr lang="en-AU" sz="1100"/>
          </a:p>
        </c:rich>
      </c:tx>
      <c:overlay val="0"/>
    </c:title>
    <c:autoTitleDeleted val="0"/>
    <c:plotArea>
      <c:layout/>
      <c:barChart>
        <c:barDir val="col"/>
        <c:grouping val="clustered"/>
        <c:varyColors val="0"/>
        <c:ser>
          <c:idx val="0"/>
          <c:order val="0"/>
          <c:tx>
            <c:strRef>
              <c:f>'Calendar Year Employment'!$Q$51:$U$51</c:f>
              <c:strCache>
                <c:ptCount val="1"/>
                <c:pt idx="0">
                  <c:v>Total Direct Employment in WA Mining Sector </c:v>
                </c:pt>
              </c:strCache>
            </c:strRef>
          </c:tx>
          <c:invertIfNegative val="0"/>
          <c:cat>
            <c:numRef>
              <c:f>'Calendar Year Employment'!$C$7:$ZZ$7</c:f>
              <c:numCache>
                <c:formatCode>General</c:formatCode>
                <c:ptCount val="70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'Calendar Year Employment'!$C$1:$ZZ$1</c:f>
              <c:numCache>
                <c:formatCode>General</c:formatCode>
                <c:ptCount val="700"/>
                <c:pt idx="0">
                  <c:v>41757.333333333336</c:v>
                </c:pt>
                <c:pt idx="1">
                  <c:v>41912.000000000007</c:v>
                </c:pt>
                <c:pt idx="2">
                  <c:v>44762.916666666664</c:v>
                </c:pt>
                <c:pt idx="3">
                  <c:v>48630</c:v>
                </c:pt>
                <c:pt idx="4">
                  <c:v>55127.416666666672</c:v>
                </c:pt>
                <c:pt idx="5">
                  <c:v>59125.250000000007</c:v>
                </c:pt>
                <c:pt idx="6">
                  <c:v>65366.166666666672</c:v>
                </c:pt>
                <c:pt idx="7">
                  <c:v>72294</c:v>
                </c:pt>
                <c:pt idx="8">
                  <c:v>69835.083333333328</c:v>
                </c:pt>
                <c:pt idx="9">
                  <c:v>78027.166666666657</c:v>
                </c:pt>
                <c:pt idx="10">
                  <c:v>92042.166666666657</c:v>
                </c:pt>
                <c:pt idx="11">
                  <c:v>106183.00000000001</c:v>
                </c:pt>
                <c:pt idx="12">
                  <c:v>111293.16666666666</c:v>
                </c:pt>
                <c:pt idx="13">
                  <c:v>109560.91666666666</c:v>
                </c:pt>
                <c:pt idx="14">
                  <c:v>105285.5</c:v>
                </c:pt>
                <c:pt idx="15">
                  <c:v>104803.08333333333</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val>
        </c:ser>
        <c:dLbls>
          <c:showLegendKey val="0"/>
          <c:showVal val="0"/>
          <c:showCatName val="0"/>
          <c:showSerName val="0"/>
          <c:showPercent val="0"/>
          <c:showBubbleSize val="0"/>
        </c:dLbls>
        <c:gapWidth val="75"/>
        <c:overlap val="-25"/>
        <c:axId val="93312512"/>
        <c:axId val="93314432"/>
      </c:barChart>
      <c:dateAx>
        <c:axId val="93312512"/>
        <c:scaling>
          <c:orientation val="minMax"/>
        </c:scaling>
        <c:delete val="0"/>
        <c:axPos val="b"/>
        <c:title>
          <c:tx>
            <c:rich>
              <a:bodyPr/>
              <a:lstStyle/>
              <a:p>
                <a:pPr algn="l">
                  <a:defRPr/>
                </a:pPr>
                <a:r>
                  <a:rPr lang="en-AU" sz="1000" b="0">
                    <a:effectLst/>
                    <a:latin typeface="+mn-lt"/>
                  </a:rPr>
                  <a:t>Source:  DMP Resources Safety Division SRS Reporting System.</a:t>
                </a:r>
              </a:p>
              <a:p>
                <a:pPr algn="l">
                  <a:defRPr/>
                </a:pPr>
                <a:r>
                  <a:rPr lang="en-AU" sz="1000" b="0">
                    <a:effectLst/>
                    <a:latin typeface="+mn-lt"/>
                  </a:rPr>
                  <a:t>Petroleum employment data discontinued from 2012 and is not included in above graph.</a:t>
                </a:r>
                <a:endParaRPr lang="en-AU" sz="400" b="0">
                  <a:effectLst/>
                  <a:latin typeface="+mn-lt"/>
                </a:endParaRPr>
              </a:p>
            </c:rich>
          </c:tx>
          <c:layout>
            <c:manualLayout>
              <c:xMode val="edge"/>
              <c:yMode val="edge"/>
              <c:x val="1.0544127737998151E-2"/>
              <c:y val="0.88226101413133817"/>
            </c:manualLayout>
          </c:layout>
          <c:overlay val="0"/>
        </c:title>
        <c:numFmt formatCode="General" sourceLinked="1"/>
        <c:majorTickMark val="none"/>
        <c:minorTickMark val="none"/>
        <c:tickLblPos val="nextTo"/>
        <c:txPr>
          <a:bodyPr rot="0"/>
          <a:lstStyle/>
          <a:p>
            <a:pPr>
              <a:defRPr/>
            </a:pPr>
            <a:endParaRPr lang="en-US"/>
          </a:p>
        </c:txPr>
        <c:crossAx val="93314432"/>
        <c:crosses val="autoZero"/>
        <c:auto val="0"/>
        <c:lblOffset val="100"/>
        <c:baseTimeUnit val="days"/>
      </c:dateAx>
      <c:valAx>
        <c:axId val="93314432"/>
        <c:scaling>
          <c:orientation val="minMax"/>
        </c:scaling>
        <c:delete val="0"/>
        <c:axPos val="l"/>
        <c:majorGridlines/>
        <c:title>
          <c:tx>
            <c:rich>
              <a:bodyPr rot="-5400000" vert="horz"/>
              <a:lstStyle/>
              <a:p>
                <a:pPr>
                  <a:defRPr/>
                </a:pPr>
                <a:r>
                  <a:rPr lang="en-AU"/>
                  <a:t>Number</a:t>
                </a:r>
                <a:r>
                  <a:rPr lang="en-AU" baseline="0"/>
                  <a:t> of Employees</a:t>
                </a:r>
                <a:endParaRPr lang="en-AU"/>
              </a:p>
            </c:rich>
          </c:tx>
          <c:overlay val="0"/>
        </c:title>
        <c:numFmt formatCode="General" sourceLinked="1"/>
        <c:majorTickMark val="none"/>
        <c:minorTickMark val="none"/>
        <c:tickLblPos val="nextTo"/>
        <c:crossAx val="93312512"/>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WA Mining Employment</a:t>
            </a:r>
          </a:p>
          <a:p>
            <a:pPr>
              <a:defRPr/>
            </a:pPr>
            <a:r>
              <a:rPr lang="en-US" sz="1100"/>
              <a:t>2001 to Present</a:t>
            </a:r>
            <a:endParaRPr lang="en-AU" sz="1100"/>
          </a:p>
        </c:rich>
      </c:tx>
      <c:overlay val="0"/>
    </c:title>
    <c:autoTitleDeleted val="0"/>
    <c:plotArea>
      <c:layout/>
      <c:barChart>
        <c:barDir val="col"/>
        <c:grouping val="clustered"/>
        <c:varyColors val="0"/>
        <c:ser>
          <c:idx val="0"/>
          <c:order val="0"/>
          <c:tx>
            <c:strRef>
              <c:f>'Financial Year Employment'!$Q$51:$U$51</c:f>
              <c:strCache>
                <c:ptCount val="1"/>
                <c:pt idx="0">
                  <c:v>Total Direct Employment in WA Mining Sector (excl. Exploration)</c:v>
                </c:pt>
              </c:strCache>
            </c:strRef>
          </c:tx>
          <c:invertIfNegative val="0"/>
          <c:cat>
            <c:strRef>
              <c:f>'Financial Year Employment'!$C$7:$ZZ$7</c:f>
              <c:strCache>
                <c:ptCount val="15"/>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strCache>
            </c:strRef>
          </c:cat>
          <c:val>
            <c:numRef>
              <c:f>'Financial Year Employment'!$C$1:$R$1</c:f>
              <c:numCache>
                <c:formatCode>General</c:formatCode>
                <c:ptCount val="16"/>
                <c:pt idx="0">
                  <c:v>40969.333333333328</c:v>
                </c:pt>
                <c:pt idx="1">
                  <c:v>42941.666666666664</c:v>
                </c:pt>
                <c:pt idx="2">
                  <c:v>45817.583333333328</c:v>
                </c:pt>
                <c:pt idx="3">
                  <c:v>51057.416666666672</c:v>
                </c:pt>
                <c:pt idx="4">
                  <c:v>56378.416666666672</c:v>
                </c:pt>
                <c:pt idx="5">
                  <c:v>60949.083333333328</c:v>
                </c:pt>
                <c:pt idx="6">
                  <c:v>66085.583333333328</c:v>
                </c:pt>
                <c:pt idx="7">
                  <c:v>70564.833333333343</c:v>
                </c:pt>
                <c:pt idx="8">
                  <c:v>68778.916666666672</c:v>
                </c:pt>
                <c:pt idx="9">
                  <c:v>81950.083333333343</c:v>
                </c:pt>
                <c:pt idx="10">
                  <c:v>96931.083333333343</c:v>
                </c:pt>
                <c:pt idx="11">
                  <c:v>106314.5</c:v>
                </c:pt>
                <c:pt idx="12">
                  <c:v>107871</c:v>
                </c:pt>
                <c:pt idx="13">
                  <c:v>105513.75</c:v>
                </c:pt>
                <c:pt idx="14">
                  <c:v>102356.83333333334</c:v>
                </c:pt>
                <c:pt idx="15">
                  <c:v>0</c:v>
                </c:pt>
              </c:numCache>
            </c:numRef>
          </c:val>
        </c:ser>
        <c:dLbls>
          <c:showLegendKey val="0"/>
          <c:showVal val="0"/>
          <c:showCatName val="0"/>
          <c:showSerName val="0"/>
          <c:showPercent val="0"/>
          <c:showBubbleSize val="0"/>
        </c:dLbls>
        <c:gapWidth val="75"/>
        <c:overlap val="-25"/>
        <c:axId val="93196288"/>
        <c:axId val="93198208"/>
      </c:barChart>
      <c:catAx>
        <c:axId val="93196288"/>
        <c:scaling>
          <c:orientation val="minMax"/>
        </c:scaling>
        <c:delete val="0"/>
        <c:axPos val="b"/>
        <c:title>
          <c:tx>
            <c:rich>
              <a:bodyPr/>
              <a:lstStyle/>
              <a:p>
                <a:pPr algn="l">
                  <a:defRPr/>
                </a:pPr>
                <a:r>
                  <a:rPr lang="en-AU" sz="1000" b="0">
                    <a:effectLst/>
                    <a:latin typeface="+mn-lt"/>
                  </a:rPr>
                  <a:t>Source:  DMP Resources Safety Division SRS Reporting System.</a:t>
                </a:r>
              </a:p>
              <a:p>
                <a:pPr algn="l">
                  <a:defRPr/>
                </a:pPr>
                <a:r>
                  <a:rPr lang="en-AU" sz="1000" b="0">
                    <a:effectLst/>
                    <a:latin typeface="+mn-lt"/>
                  </a:rPr>
                  <a:t>Petroleum employment data discontinued from 2012 and is not included in above graph..</a:t>
                </a:r>
                <a:endParaRPr lang="en-AU" sz="400" b="0">
                  <a:effectLst/>
                  <a:latin typeface="+mn-lt"/>
                </a:endParaRPr>
              </a:p>
            </c:rich>
          </c:tx>
          <c:layout>
            <c:manualLayout>
              <c:xMode val="edge"/>
              <c:yMode val="edge"/>
              <c:x val="1.0544127737998151E-2"/>
              <c:y val="0.88226101413133817"/>
            </c:manualLayout>
          </c:layout>
          <c:overlay val="0"/>
        </c:title>
        <c:numFmt formatCode="General" sourceLinked="1"/>
        <c:majorTickMark val="none"/>
        <c:minorTickMark val="none"/>
        <c:tickLblPos val="nextTo"/>
        <c:txPr>
          <a:bodyPr rot="0"/>
          <a:lstStyle/>
          <a:p>
            <a:pPr>
              <a:defRPr/>
            </a:pPr>
            <a:endParaRPr lang="en-US"/>
          </a:p>
        </c:txPr>
        <c:crossAx val="93198208"/>
        <c:crosses val="autoZero"/>
        <c:auto val="0"/>
        <c:lblAlgn val="ctr"/>
        <c:lblOffset val="100"/>
        <c:tickMarkSkip val="1"/>
        <c:noMultiLvlLbl val="0"/>
      </c:catAx>
      <c:valAx>
        <c:axId val="93198208"/>
        <c:scaling>
          <c:orientation val="minMax"/>
        </c:scaling>
        <c:delete val="0"/>
        <c:axPos val="l"/>
        <c:majorGridlines/>
        <c:title>
          <c:tx>
            <c:rich>
              <a:bodyPr rot="-5400000" vert="horz"/>
              <a:lstStyle/>
              <a:p>
                <a:pPr>
                  <a:defRPr/>
                </a:pPr>
                <a:r>
                  <a:rPr lang="en-AU"/>
                  <a:t>Number</a:t>
                </a:r>
                <a:r>
                  <a:rPr lang="en-AU" baseline="0"/>
                  <a:t> of Employees</a:t>
                </a:r>
                <a:endParaRPr lang="en-AU"/>
              </a:p>
            </c:rich>
          </c:tx>
          <c:overlay val="0"/>
        </c:title>
        <c:numFmt formatCode="General" sourceLinked="1"/>
        <c:majorTickMark val="none"/>
        <c:minorTickMark val="none"/>
        <c:tickLblPos val="nextTo"/>
        <c:crossAx val="9319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a:t>Trade weighted index</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sz="1100" b="0" i="0" baseline="0">
                <a:effectLst/>
              </a:rPr>
              <a:t>(units of foreign currency per A$)</a:t>
            </a:r>
            <a:endParaRPr lang="en-AU" sz="1100">
              <a:effectLst/>
            </a:endParaRPr>
          </a:p>
        </c:rich>
      </c:tx>
      <c:overlay val="0"/>
    </c:title>
    <c:autoTitleDeleted val="0"/>
    <c:plotArea>
      <c:layout/>
      <c:lineChart>
        <c:grouping val="standard"/>
        <c:varyColors val="0"/>
        <c:ser>
          <c:idx val="36"/>
          <c:order val="0"/>
          <c:tx>
            <c:strRef>
              <c:f>'Trade Weighted Index'!$D$5</c:f>
              <c:strCache>
                <c:ptCount val="1"/>
                <c:pt idx="0">
                  <c:v>Trade-weighted index</c:v>
                </c:pt>
              </c:strCache>
            </c:strRef>
          </c:tx>
          <c:spPr>
            <a:ln>
              <a:solidFill>
                <a:schemeClr val="accent6"/>
              </a:solidFill>
            </a:ln>
          </c:spPr>
          <c:marker>
            <c:symbol val="none"/>
          </c:marker>
          <c:cat>
            <c:numRef>
              <c:f>'Trade Weighted Index'!$D$8:$D$31</c:f>
              <c:numCache>
                <c:formatCode>mmm\-yy</c:formatCode>
                <c:ptCount val="2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numCache>
            </c:numRef>
          </c:cat>
          <c:val>
            <c:numRef>
              <c:f>'Trade Weighted Index'!$E$8:$E$31</c:f>
              <c:numCache>
                <c:formatCode>0.00</c:formatCode>
                <c:ptCount val="24"/>
                <c:pt idx="0">
                  <c:v>66.015000000000001</c:v>
                </c:pt>
                <c:pt idx="1">
                  <c:v>63.949999999999989</c:v>
                </c:pt>
                <c:pt idx="2">
                  <c:v>64.13181818181819</c:v>
                </c:pt>
                <c:pt idx="3">
                  <c:v>63.785000000000004</c:v>
                </c:pt>
                <c:pt idx="4">
                  <c:v>65.033333333333331</c:v>
                </c:pt>
                <c:pt idx="5">
                  <c:v>64.104761904761901</c:v>
                </c:pt>
                <c:pt idx="6">
                  <c:v>62.121739130434797</c:v>
                </c:pt>
                <c:pt idx="7">
                  <c:v>61.975000000000001</c:v>
                </c:pt>
                <c:pt idx="8">
                  <c:v>60.204545454545453</c:v>
                </c:pt>
                <c:pt idx="9">
                  <c:v>61.042857142857137</c:v>
                </c:pt>
                <c:pt idx="10">
                  <c:v>61.25238095238096</c:v>
                </c:pt>
                <c:pt idx="11">
                  <c:v>62.24285714285714</c:v>
                </c:pt>
                <c:pt idx="12">
                  <c:v>60.752631578947366</c:v>
                </c:pt>
                <c:pt idx="13">
                  <c:v>61.157142857142865</c:v>
                </c:pt>
                <c:pt idx="14">
                  <c:v>63.561904761904771</c:v>
                </c:pt>
                <c:pt idx="15">
                  <c:v>64.214999999999989</c:v>
                </c:pt>
                <c:pt idx="16">
                  <c:v>61.75454545454545</c:v>
                </c:pt>
                <c:pt idx="17">
                  <c:v>62.261904761904759</c:v>
                </c:pt>
                <c:pt idx="18">
                  <c:v>63.538095238095238</c:v>
                </c:pt>
                <c:pt idx="19">
                  <c:v>63.859090909090902</c:v>
                </c:pt>
                <c:pt idx="20">
                  <c:v>63.704545454545453</c:v>
                </c:pt>
                <c:pt idx="21">
                  <c:v>64.67</c:v>
                </c:pt>
                <c:pt idx="22">
                  <c:v>65.031818181818167</c:v>
                </c:pt>
                <c:pt idx="23">
                  <c:v>64.664999999999992</c:v>
                </c:pt>
              </c:numCache>
            </c:numRef>
          </c:val>
          <c:smooth val="0"/>
        </c:ser>
        <c:dLbls>
          <c:showLegendKey val="0"/>
          <c:showVal val="0"/>
          <c:showCatName val="0"/>
          <c:showSerName val="0"/>
          <c:showPercent val="0"/>
          <c:showBubbleSize val="0"/>
        </c:dLbls>
        <c:marker val="1"/>
        <c:smooth val="0"/>
        <c:axId val="148676992"/>
        <c:axId val="148678912"/>
      </c:lineChart>
      <c:dateAx>
        <c:axId val="148676992"/>
        <c:scaling>
          <c:orientation val="minMax"/>
        </c:scaling>
        <c:delete val="0"/>
        <c:axPos val="b"/>
        <c:title>
          <c:tx>
            <c:rich>
              <a:bodyPr/>
              <a:lstStyle/>
              <a:p>
                <a:pPr>
                  <a:defRPr/>
                </a:pPr>
                <a:r>
                  <a:rPr lang="en-AU"/>
                  <a:t>Source: Reserve Bank</a:t>
                </a:r>
                <a:r>
                  <a:rPr lang="en-AU" baseline="0"/>
                  <a:t> of Australia</a:t>
                </a:r>
              </a:p>
            </c:rich>
          </c:tx>
          <c:layout>
            <c:manualLayout>
              <c:xMode val="edge"/>
              <c:yMode val="edge"/>
              <c:x val="2.1451475192107012E-2"/>
              <c:y val="0.92657794852055453"/>
            </c:manualLayout>
          </c:layout>
          <c:overlay val="0"/>
        </c:title>
        <c:numFmt formatCode="mmm\-yy" sourceLinked="0"/>
        <c:majorTickMark val="none"/>
        <c:minorTickMark val="none"/>
        <c:tickLblPos val="nextTo"/>
        <c:txPr>
          <a:bodyPr rot="-2700000" vert="horz"/>
          <a:lstStyle/>
          <a:p>
            <a:pPr>
              <a:defRPr/>
            </a:pPr>
            <a:endParaRPr lang="en-US"/>
          </a:p>
        </c:txPr>
        <c:crossAx val="148678912"/>
        <c:crosses val="autoZero"/>
        <c:auto val="0"/>
        <c:lblOffset val="100"/>
        <c:baseTimeUnit val="months"/>
        <c:majorUnit val="1"/>
        <c:majorTimeUnit val="months"/>
      </c:dateAx>
      <c:valAx>
        <c:axId val="148678912"/>
        <c:scaling>
          <c:orientation val="minMax"/>
          <c:min val="40"/>
        </c:scaling>
        <c:delete val="0"/>
        <c:axPos val="l"/>
        <c:majorGridlines/>
        <c:numFmt formatCode="0.00" sourceLinked="0"/>
        <c:majorTickMark val="none"/>
        <c:minorTickMark val="none"/>
        <c:tickLblPos val="nextTo"/>
        <c:txPr>
          <a:bodyPr rot="0" vert="horz"/>
          <a:lstStyle/>
          <a:p>
            <a:pPr>
              <a:defRPr/>
            </a:pPr>
            <a:endParaRPr lang="en-US"/>
          </a:p>
        </c:txPr>
        <c:crossAx val="148676992"/>
        <c:crosses val="autoZero"/>
        <c:crossBetween val="midCat"/>
      </c:valAx>
    </c:plotArea>
    <c:plotVisOnly val="1"/>
    <c:dispBlanksAs val="gap"/>
    <c:showDLblsOverMax val="0"/>
  </c:chart>
  <c:printSettings>
    <c:headerFooter alignWithMargins="0"/>
    <c:pageMargins b="3.1496062992125986" l="2.1653543307086607" r="2.1653543307086607" t="3.1496062992125986" header="0.51181102362204722" footer="0.51181102362204722"/>
    <c:pageSetup paperSize="9" orientation="portrait" horizontalDpi="-4" verticalDpi="300"/>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Mining FTEs vs Total Mining Individuals</a:t>
            </a:r>
          </a:p>
          <a:p>
            <a:pPr>
              <a:defRPr/>
            </a:pPr>
            <a:r>
              <a:rPr lang="en-AU" sz="1100"/>
              <a:t>Includes Employees and contractors</a:t>
            </a:r>
          </a:p>
        </c:rich>
      </c:tx>
      <c:overlay val="0"/>
    </c:title>
    <c:autoTitleDeleted val="0"/>
    <c:plotArea>
      <c:layout/>
      <c:lineChart>
        <c:grouping val="standard"/>
        <c:varyColors val="0"/>
        <c:ser>
          <c:idx val="0"/>
          <c:order val="0"/>
          <c:tx>
            <c:strRef>
              <c:f>'Historic Employment Monthly'!$A$45</c:f>
              <c:strCache>
                <c:ptCount val="1"/>
                <c:pt idx="0">
                  <c:v>Total Mining FTEs</c:v>
                </c:pt>
              </c:strCache>
            </c:strRef>
          </c:tx>
          <c:marker>
            <c:symbol val="none"/>
          </c:marker>
          <c:cat>
            <c:numRef>
              <c:f>'Historic Employment Monthly'!$B$12:$SD$12</c:f>
              <c:numCache>
                <c:formatCode>mmm\-yy</c:formatCode>
                <c:ptCount val="497"/>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numCache>
            </c:numRef>
          </c:cat>
          <c:val>
            <c:numRef>
              <c:f>'Historic Employment Monthly'!$B$59:$SD$59</c:f>
              <c:numCache>
                <c:formatCode>#,##0</c:formatCode>
                <c:ptCount val="497"/>
                <c:pt idx="0">
                  <c:v>40167</c:v>
                </c:pt>
                <c:pt idx="1">
                  <c:v>39918</c:v>
                </c:pt>
                <c:pt idx="2">
                  <c:v>45840</c:v>
                </c:pt>
                <c:pt idx="3">
                  <c:v>41703</c:v>
                </c:pt>
                <c:pt idx="4">
                  <c:v>44205</c:v>
                </c:pt>
                <c:pt idx="5">
                  <c:v>43147</c:v>
                </c:pt>
                <c:pt idx="6">
                  <c:v>43613</c:v>
                </c:pt>
                <c:pt idx="7">
                  <c:v>44715</c:v>
                </c:pt>
                <c:pt idx="8">
                  <c:v>42405</c:v>
                </c:pt>
                <c:pt idx="9">
                  <c:v>43807</c:v>
                </c:pt>
                <c:pt idx="10">
                  <c:v>44062</c:v>
                </c:pt>
                <c:pt idx="11">
                  <c:v>42316</c:v>
                </c:pt>
                <c:pt idx="12">
                  <c:v>42618</c:v>
                </c:pt>
                <c:pt idx="13">
                  <c:v>39422</c:v>
                </c:pt>
                <c:pt idx="14">
                  <c:v>42846</c:v>
                </c:pt>
                <c:pt idx="15">
                  <c:v>41471</c:v>
                </c:pt>
                <c:pt idx="16">
                  <c:v>42151</c:v>
                </c:pt>
                <c:pt idx="17">
                  <c:v>39916</c:v>
                </c:pt>
                <c:pt idx="18">
                  <c:v>43318</c:v>
                </c:pt>
                <c:pt idx="19">
                  <c:v>41415</c:v>
                </c:pt>
                <c:pt idx="20">
                  <c:v>42785</c:v>
                </c:pt>
                <c:pt idx="21">
                  <c:v>43224</c:v>
                </c:pt>
                <c:pt idx="22">
                  <c:v>43375</c:v>
                </c:pt>
                <c:pt idx="23">
                  <c:v>41942</c:v>
                </c:pt>
                <c:pt idx="24">
                  <c:v>41638</c:v>
                </c:pt>
                <c:pt idx="25">
                  <c:v>41161</c:v>
                </c:pt>
                <c:pt idx="26">
                  <c:v>44992</c:v>
                </c:pt>
                <c:pt idx="27">
                  <c:v>42654</c:v>
                </c:pt>
                <c:pt idx="28">
                  <c:v>45613</c:v>
                </c:pt>
                <c:pt idx="29">
                  <c:v>43747</c:v>
                </c:pt>
                <c:pt idx="30">
                  <c:v>45564</c:v>
                </c:pt>
                <c:pt idx="31">
                  <c:v>44950</c:v>
                </c:pt>
                <c:pt idx="32">
                  <c:v>44334</c:v>
                </c:pt>
                <c:pt idx="33">
                  <c:v>45599</c:v>
                </c:pt>
                <c:pt idx="34">
                  <c:v>44815</c:v>
                </c:pt>
                <c:pt idx="35">
                  <c:v>43875</c:v>
                </c:pt>
                <c:pt idx="36">
                  <c:v>44261</c:v>
                </c:pt>
                <c:pt idx="37">
                  <c:v>45708</c:v>
                </c:pt>
                <c:pt idx="38">
                  <c:v>49019</c:v>
                </c:pt>
                <c:pt idx="39">
                  <c:v>46516</c:v>
                </c:pt>
                <c:pt idx="40">
                  <c:v>49107</c:v>
                </c:pt>
                <c:pt idx="41">
                  <c:v>49712</c:v>
                </c:pt>
                <c:pt idx="42">
                  <c:v>49633</c:v>
                </c:pt>
                <c:pt idx="43">
                  <c:v>49742</c:v>
                </c:pt>
                <c:pt idx="44">
                  <c:v>50196</c:v>
                </c:pt>
                <c:pt idx="45">
                  <c:v>50276</c:v>
                </c:pt>
                <c:pt idx="46">
                  <c:v>50676</c:v>
                </c:pt>
                <c:pt idx="47">
                  <c:v>48528</c:v>
                </c:pt>
                <c:pt idx="48">
                  <c:v>47153</c:v>
                </c:pt>
                <c:pt idx="49">
                  <c:v>47543</c:v>
                </c:pt>
                <c:pt idx="50">
                  <c:v>51065</c:v>
                </c:pt>
                <c:pt idx="51">
                  <c:v>50499</c:v>
                </c:pt>
                <c:pt idx="52">
                  <c:v>53292</c:v>
                </c:pt>
                <c:pt idx="53">
                  <c:v>52549</c:v>
                </c:pt>
                <c:pt idx="54">
                  <c:v>54504</c:v>
                </c:pt>
                <c:pt idx="55">
                  <c:v>54066</c:v>
                </c:pt>
                <c:pt idx="56">
                  <c:v>54290</c:v>
                </c:pt>
                <c:pt idx="57">
                  <c:v>54793</c:v>
                </c:pt>
                <c:pt idx="58">
                  <c:v>56608</c:v>
                </c:pt>
                <c:pt idx="59">
                  <c:v>53036</c:v>
                </c:pt>
                <c:pt idx="60">
                  <c:v>51833</c:v>
                </c:pt>
                <c:pt idx="61">
                  <c:v>54404</c:v>
                </c:pt>
                <c:pt idx="62">
                  <c:v>59070</c:v>
                </c:pt>
                <c:pt idx="63">
                  <c:v>55785</c:v>
                </c:pt>
                <c:pt idx="64">
                  <c:v>62271</c:v>
                </c:pt>
                <c:pt idx="65">
                  <c:v>61856</c:v>
                </c:pt>
                <c:pt idx="66">
                  <c:v>61563</c:v>
                </c:pt>
                <c:pt idx="67">
                  <c:v>62208</c:v>
                </c:pt>
                <c:pt idx="68">
                  <c:v>61818</c:v>
                </c:pt>
                <c:pt idx="69">
                  <c:v>62378</c:v>
                </c:pt>
                <c:pt idx="70">
                  <c:v>63136</c:v>
                </c:pt>
                <c:pt idx="71">
                  <c:v>59765</c:v>
                </c:pt>
                <c:pt idx="72">
                  <c:v>59288</c:v>
                </c:pt>
                <c:pt idx="73">
                  <c:v>62146</c:v>
                </c:pt>
                <c:pt idx="74">
                  <c:v>65838</c:v>
                </c:pt>
                <c:pt idx="75">
                  <c:v>62071</c:v>
                </c:pt>
                <c:pt idx="76">
                  <c:v>67155</c:v>
                </c:pt>
                <c:pt idx="77">
                  <c:v>66095</c:v>
                </c:pt>
                <c:pt idx="78">
                  <c:v>67003</c:v>
                </c:pt>
                <c:pt idx="79">
                  <c:v>69270</c:v>
                </c:pt>
                <c:pt idx="80">
                  <c:v>66612</c:v>
                </c:pt>
                <c:pt idx="81">
                  <c:v>65498</c:v>
                </c:pt>
                <c:pt idx="82">
                  <c:v>67679</c:v>
                </c:pt>
                <c:pt idx="83">
                  <c:v>61561</c:v>
                </c:pt>
                <c:pt idx="84">
                  <c:v>63268</c:v>
                </c:pt>
                <c:pt idx="85">
                  <c:v>65404</c:v>
                </c:pt>
                <c:pt idx="86">
                  <c:v>66618</c:v>
                </c:pt>
                <c:pt idx="87">
                  <c:v>67841</c:v>
                </c:pt>
                <c:pt idx="88">
                  <c:v>71365</c:v>
                </c:pt>
                <c:pt idx="89">
                  <c:v>71279</c:v>
                </c:pt>
                <c:pt idx="90">
                  <c:v>74463</c:v>
                </c:pt>
                <c:pt idx="91">
                  <c:v>77141</c:v>
                </c:pt>
                <c:pt idx="92">
                  <c:v>75092</c:v>
                </c:pt>
                <c:pt idx="93">
                  <c:v>77773</c:v>
                </c:pt>
                <c:pt idx="94">
                  <c:v>73746</c:v>
                </c:pt>
                <c:pt idx="95">
                  <c:v>68454</c:v>
                </c:pt>
                <c:pt idx="96">
                  <c:v>67057</c:v>
                </c:pt>
                <c:pt idx="97">
                  <c:v>66767</c:v>
                </c:pt>
                <c:pt idx="98">
                  <c:v>70813</c:v>
                </c:pt>
                <c:pt idx="99">
                  <c:v>68592</c:v>
                </c:pt>
                <c:pt idx="100">
                  <c:v>70296</c:v>
                </c:pt>
                <c:pt idx="101">
                  <c:v>68166</c:v>
                </c:pt>
                <c:pt idx="102">
                  <c:v>68814</c:v>
                </c:pt>
                <c:pt idx="103">
                  <c:v>67323</c:v>
                </c:pt>
                <c:pt idx="104">
                  <c:v>65729</c:v>
                </c:pt>
                <c:pt idx="105">
                  <c:v>67692</c:v>
                </c:pt>
                <c:pt idx="106">
                  <c:v>65897</c:v>
                </c:pt>
                <c:pt idx="107">
                  <c:v>64034</c:v>
                </c:pt>
                <c:pt idx="108">
                  <c:v>62118</c:v>
                </c:pt>
                <c:pt idx="109">
                  <c:v>64938</c:v>
                </c:pt>
                <c:pt idx="110">
                  <c:v>70220</c:v>
                </c:pt>
                <c:pt idx="111">
                  <c:v>68111</c:v>
                </c:pt>
                <c:pt idx="112">
                  <c:v>70732</c:v>
                </c:pt>
                <c:pt idx="113">
                  <c:v>72070</c:v>
                </c:pt>
                <c:pt idx="114">
                  <c:v>74515</c:v>
                </c:pt>
                <c:pt idx="115">
                  <c:v>76322</c:v>
                </c:pt>
                <c:pt idx="116">
                  <c:v>74704</c:v>
                </c:pt>
                <c:pt idx="117">
                  <c:v>77681</c:v>
                </c:pt>
                <c:pt idx="118">
                  <c:v>79506</c:v>
                </c:pt>
                <c:pt idx="119">
                  <c:v>74078</c:v>
                </c:pt>
                <c:pt idx="120">
                  <c:v>74747</c:v>
                </c:pt>
                <c:pt idx="121">
                  <c:v>74966</c:v>
                </c:pt>
                <c:pt idx="122">
                  <c:v>82243</c:v>
                </c:pt>
                <c:pt idx="123">
                  <c:v>79737</c:v>
                </c:pt>
                <c:pt idx="124">
                  <c:v>88774</c:v>
                </c:pt>
                <c:pt idx="125">
                  <c:v>86703</c:v>
                </c:pt>
                <c:pt idx="126">
                  <c:v>88320</c:v>
                </c:pt>
                <c:pt idx="127">
                  <c:v>92355</c:v>
                </c:pt>
                <c:pt idx="128">
                  <c:v>90723</c:v>
                </c:pt>
                <c:pt idx="129">
                  <c:v>92505</c:v>
                </c:pt>
                <c:pt idx="130">
                  <c:v>93602</c:v>
                </c:pt>
                <c:pt idx="131">
                  <c:v>87231</c:v>
                </c:pt>
                <c:pt idx="132">
                  <c:v>88884</c:v>
                </c:pt>
                <c:pt idx="133">
                  <c:v>93528</c:v>
                </c:pt>
                <c:pt idx="134">
                  <c:v>99280</c:v>
                </c:pt>
                <c:pt idx="135">
                  <c:v>96188</c:v>
                </c:pt>
                <c:pt idx="136">
                  <c:v>102754</c:v>
                </c:pt>
                <c:pt idx="137">
                  <c:v>98672</c:v>
                </c:pt>
                <c:pt idx="138">
                  <c:v>102272</c:v>
                </c:pt>
                <c:pt idx="139">
                  <c:v>104770</c:v>
                </c:pt>
                <c:pt idx="140">
                  <c:v>100138</c:v>
                </c:pt>
                <c:pt idx="141">
                  <c:v>103411</c:v>
                </c:pt>
                <c:pt idx="142">
                  <c:v>99646</c:v>
                </c:pt>
                <c:pt idx="143">
                  <c:v>93613</c:v>
                </c:pt>
                <c:pt idx="144">
                  <c:v>98475</c:v>
                </c:pt>
                <c:pt idx="145">
                  <c:v>100456</c:v>
                </c:pt>
                <c:pt idx="146">
                  <c:v>102870</c:v>
                </c:pt>
                <c:pt idx="147">
                  <c:v>104408</c:v>
                </c:pt>
                <c:pt idx="148">
                  <c:v>104642</c:v>
                </c:pt>
                <c:pt idx="149">
                  <c:v>101680</c:v>
                </c:pt>
                <c:pt idx="150">
                  <c:v>105669</c:v>
                </c:pt>
                <c:pt idx="151">
                  <c:v>107297</c:v>
                </c:pt>
                <c:pt idx="152">
                  <c:v>100420</c:v>
                </c:pt>
                <c:pt idx="153">
                  <c:v>102927</c:v>
                </c:pt>
                <c:pt idx="154">
                  <c:v>101139</c:v>
                </c:pt>
                <c:pt idx="155">
                  <c:v>90157</c:v>
                </c:pt>
                <c:pt idx="156">
                  <c:v>91214</c:v>
                </c:pt>
                <c:pt idx="157">
                  <c:v>90692</c:v>
                </c:pt>
                <c:pt idx="158">
                  <c:v>98950</c:v>
                </c:pt>
                <c:pt idx="159">
                  <c:v>94314</c:v>
                </c:pt>
                <c:pt idx="160">
                  <c:v>99407</c:v>
                </c:pt>
                <c:pt idx="161">
                  <c:v>94519</c:v>
                </c:pt>
                <c:pt idx="162">
                  <c:v>96589</c:v>
                </c:pt>
                <c:pt idx="163">
                  <c:v>95963</c:v>
                </c:pt>
                <c:pt idx="164">
                  <c:v>94689</c:v>
                </c:pt>
                <c:pt idx="165">
                  <c:v>99792</c:v>
                </c:pt>
                <c:pt idx="166">
                  <c:v>96720</c:v>
                </c:pt>
                <c:pt idx="167">
                  <c:v>89953</c:v>
                </c:pt>
                <c:pt idx="168">
                  <c:v>86686</c:v>
                </c:pt>
                <c:pt idx="169">
                  <c:v>85885</c:v>
                </c:pt>
                <c:pt idx="170">
                  <c:v>92058</c:v>
                </c:pt>
                <c:pt idx="171">
                  <c:v>86794</c:v>
                </c:pt>
                <c:pt idx="172">
                  <c:v>88005</c:v>
                </c:pt>
                <c:pt idx="173">
                  <c:v>87260</c:v>
                </c:pt>
                <c:pt idx="174">
                  <c:v>88731</c:v>
                </c:pt>
                <c:pt idx="175">
                  <c:v>88022</c:v>
                </c:pt>
                <c:pt idx="176">
                  <c:v>86588</c:v>
                </c:pt>
                <c:pt idx="177">
                  <c:v>88489</c:v>
                </c:pt>
                <c:pt idx="178">
                  <c:v>85799</c:v>
                </c:pt>
                <c:pt idx="179">
                  <c:v>81669</c:v>
                </c:pt>
                <c:pt idx="180">
                  <c:v>80167</c:v>
                </c:pt>
                <c:pt idx="181">
                  <c:v>81421</c:v>
                </c:pt>
                <c:pt idx="182">
                  <c:v>82110</c:v>
                </c:pt>
                <c:pt idx="183">
                  <c:v>80216</c:v>
                </c:pt>
                <c:pt idx="184">
                  <c:v>84347</c:v>
                </c:pt>
                <c:pt idx="185">
                  <c:v>80703</c:v>
                </c:pt>
                <c:pt idx="186">
                  <c:v>83867</c:v>
                </c:pt>
                <c:pt idx="187">
                  <c:v>84299</c:v>
                </c:pt>
                <c:pt idx="188">
                  <c:v>79574</c:v>
                </c:pt>
                <c:pt idx="189">
                  <c:v>82957</c:v>
                </c:pt>
                <c:pt idx="190">
                  <c:v>84372</c:v>
                </c:pt>
                <c:pt idx="191">
                  <c:v>78399</c:v>
                </c:pt>
              </c:numCache>
            </c:numRef>
          </c:val>
          <c:smooth val="0"/>
        </c:ser>
        <c:ser>
          <c:idx val="1"/>
          <c:order val="1"/>
          <c:tx>
            <c:strRef>
              <c:f>'Historic Employment Monthly'!$A$133</c:f>
              <c:strCache>
                <c:ptCount val="1"/>
                <c:pt idx="0">
                  <c:v>Mining Reported Total numbers</c:v>
                </c:pt>
              </c:strCache>
            </c:strRef>
          </c:tx>
          <c:marker>
            <c:symbol val="none"/>
          </c:marker>
          <c:cat>
            <c:numRef>
              <c:f>'Historic Employment Monthly'!$B$12:$SD$12</c:f>
              <c:numCache>
                <c:formatCode>mmm\-yy</c:formatCode>
                <c:ptCount val="497"/>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numCache>
            </c:numRef>
          </c:cat>
          <c:val>
            <c:numRef>
              <c:f>'Historic Employment Monthly'!$B$147:$SD$147</c:f>
              <c:numCache>
                <c:formatCode>#,##0</c:formatCode>
                <c:ptCount val="497"/>
                <c:pt idx="0">
                  <c:v>39421</c:v>
                </c:pt>
                <c:pt idx="1">
                  <c:v>39287</c:v>
                </c:pt>
                <c:pt idx="2">
                  <c:v>42555</c:v>
                </c:pt>
                <c:pt idx="3">
                  <c:v>40464</c:v>
                </c:pt>
                <c:pt idx="4">
                  <c:v>41111</c:v>
                </c:pt>
                <c:pt idx="5">
                  <c:v>41350</c:v>
                </c:pt>
                <c:pt idx="6">
                  <c:v>41772</c:v>
                </c:pt>
                <c:pt idx="7">
                  <c:v>41667</c:v>
                </c:pt>
                <c:pt idx="8">
                  <c:v>40381</c:v>
                </c:pt>
                <c:pt idx="9">
                  <c:v>41952</c:v>
                </c:pt>
                <c:pt idx="10">
                  <c:v>41719</c:v>
                </c:pt>
                <c:pt idx="11">
                  <c:v>41725</c:v>
                </c:pt>
                <c:pt idx="12">
                  <c:v>40618</c:v>
                </c:pt>
                <c:pt idx="13">
                  <c:v>41004</c:v>
                </c:pt>
                <c:pt idx="14">
                  <c:v>39594</c:v>
                </c:pt>
                <c:pt idx="15">
                  <c:v>41403</c:v>
                </c:pt>
                <c:pt idx="16">
                  <c:v>39645</c:v>
                </c:pt>
                <c:pt idx="17">
                  <c:v>40152</c:v>
                </c:pt>
                <c:pt idx="18">
                  <c:v>42993</c:v>
                </c:pt>
                <c:pt idx="19">
                  <c:v>40583</c:v>
                </c:pt>
                <c:pt idx="20">
                  <c:v>41710</c:v>
                </c:pt>
                <c:pt idx="21">
                  <c:v>42750</c:v>
                </c:pt>
                <c:pt idx="22">
                  <c:v>43438</c:v>
                </c:pt>
                <c:pt idx="23">
                  <c:v>42762</c:v>
                </c:pt>
                <c:pt idx="24">
                  <c:v>41835</c:v>
                </c:pt>
                <c:pt idx="25">
                  <c:v>42295</c:v>
                </c:pt>
                <c:pt idx="26">
                  <c:v>44662</c:v>
                </c:pt>
                <c:pt idx="27">
                  <c:v>43807</c:v>
                </c:pt>
                <c:pt idx="28">
                  <c:v>43900</c:v>
                </c:pt>
                <c:pt idx="29">
                  <c:v>44565</c:v>
                </c:pt>
                <c:pt idx="30">
                  <c:v>45205</c:v>
                </c:pt>
                <c:pt idx="31">
                  <c:v>44693</c:v>
                </c:pt>
                <c:pt idx="32">
                  <c:v>45218</c:v>
                </c:pt>
                <c:pt idx="33">
                  <c:v>45275</c:v>
                </c:pt>
                <c:pt idx="34">
                  <c:v>45401</c:v>
                </c:pt>
                <c:pt idx="35">
                  <c:v>43876</c:v>
                </c:pt>
                <c:pt idx="36">
                  <c:v>44177</c:v>
                </c:pt>
                <c:pt idx="37">
                  <c:v>45790</c:v>
                </c:pt>
                <c:pt idx="38">
                  <c:v>47893</c:v>
                </c:pt>
                <c:pt idx="39">
                  <c:v>46842</c:v>
                </c:pt>
                <c:pt idx="40">
                  <c:v>47638</c:v>
                </c:pt>
                <c:pt idx="41">
                  <c:v>47803</c:v>
                </c:pt>
                <c:pt idx="42">
                  <c:v>48040</c:v>
                </c:pt>
                <c:pt idx="43">
                  <c:v>49216</c:v>
                </c:pt>
                <c:pt idx="44">
                  <c:v>49257</c:v>
                </c:pt>
                <c:pt idx="45">
                  <c:v>48933</c:v>
                </c:pt>
                <c:pt idx="46">
                  <c:v>50278</c:v>
                </c:pt>
                <c:pt idx="47">
                  <c:v>49973</c:v>
                </c:pt>
                <c:pt idx="48">
                  <c:v>49605</c:v>
                </c:pt>
                <c:pt idx="49">
                  <c:v>51703</c:v>
                </c:pt>
                <c:pt idx="50">
                  <c:v>53076</c:v>
                </c:pt>
                <c:pt idx="51">
                  <c:v>53366</c:v>
                </c:pt>
                <c:pt idx="52">
                  <c:v>54938</c:v>
                </c:pt>
                <c:pt idx="53">
                  <c:v>54304</c:v>
                </c:pt>
                <c:pt idx="54">
                  <c:v>56105</c:v>
                </c:pt>
                <c:pt idx="55">
                  <c:v>56831</c:v>
                </c:pt>
                <c:pt idx="56">
                  <c:v>55474</c:v>
                </c:pt>
                <c:pt idx="57">
                  <c:v>55769</c:v>
                </c:pt>
                <c:pt idx="58">
                  <c:v>57005</c:v>
                </c:pt>
                <c:pt idx="59">
                  <c:v>54537</c:v>
                </c:pt>
                <c:pt idx="60">
                  <c:v>53235</c:v>
                </c:pt>
                <c:pt idx="61">
                  <c:v>56535</c:v>
                </c:pt>
                <c:pt idx="62">
                  <c:v>57525</c:v>
                </c:pt>
                <c:pt idx="63">
                  <c:v>55705</c:v>
                </c:pt>
                <c:pt idx="64">
                  <c:v>60091</c:v>
                </c:pt>
                <c:pt idx="65">
                  <c:v>57729</c:v>
                </c:pt>
                <c:pt idx="66">
                  <c:v>57910</c:v>
                </c:pt>
                <c:pt idx="67">
                  <c:v>60163</c:v>
                </c:pt>
                <c:pt idx="68">
                  <c:v>58745</c:v>
                </c:pt>
                <c:pt idx="69">
                  <c:v>60781</c:v>
                </c:pt>
                <c:pt idx="70">
                  <c:v>61914</c:v>
                </c:pt>
                <c:pt idx="71">
                  <c:v>58160</c:v>
                </c:pt>
                <c:pt idx="72">
                  <c:v>58993</c:v>
                </c:pt>
                <c:pt idx="73">
                  <c:v>62769</c:v>
                </c:pt>
                <c:pt idx="74">
                  <c:v>63632</c:v>
                </c:pt>
                <c:pt idx="75">
                  <c:v>61745</c:v>
                </c:pt>
                <c:pt idx="76">
                  <c:v>63943</c:v>
                </c:pt>
                <c:pt idx="77">
                  <c:v>62634</c:v>
                </c:pt>
                <c:pt idx="78">
                  <c:v>64528</c:v>
                </c:pt>
                <c:pt idx="79">
                  <c:v>68264</c:v>
                </c:pt>
                <c:pt idx="80">
                  <c:v>65528</c:v>
                </c:pt>
                <c:pt idx="81">
                  <c:v>65076</c:v>
                </c:pt>
                <c:pt idx="82">
                  <c:v>67170</c:v>
                </c:pt>
                <c:pt idx="83">
                  <c:v>62462</c:v>
                </c:pt>
                <c:pt idx="84">
                  <c:v>64595</c:v>
                </c:pt>
                <c:pt idx="85">
                  <c:v>65750</c:v>
                </c:pt>
                <c:pt idx="86">
                  <c:v>64637</c:v>
                </c:pt>
                <c:pt idx="87">
                  <c:v>67094</c:v>
                </c:pt>
                <c:pt idx="88">
                  <c:v>67134</c:v>
                </c:pt>
                <c:pt idx="89">
                  <c:v>70789</c:v>
                </c:pt>
                <c:pt idx="90">
                  <c:v>72185</c:v>
                </c:pt>
                <c:pt idx="91">
                  <c:v>71948</c:v>
                </c:pt>
                <c:pt idx="92">
                  <c:v>74354</c:v>
                </c:pt>
                <c:pt idx="93">
                  <c:v>77264</c:v>
                </c:pt>
                <c:pt idx="94">
                  <c:v>73796</c:v>
                </c:pt>
                <c:pt idx="95">
                  <c:v>70431</c:v>
                </c:pt>
                <c:pt idx="96">
                  <c:v>68248</c:v>
                </c:pt>
                <c:pt idx="97">
                  <c:v>68420</c:v>
                </c:pt>
                <c:pt idx="98">
                  <c:v>68558</c:v>
                </c:pt>
                <c:pt idx="99">
                  <c:v>67180</c:v>
                </c:pt>
                <c:pt idx="100">
                  <c:v>67472</c:v>
                </c:pt>
                <c:pt idx="101">
                  <c:v>66922</c:v>
                </c:pt>
                <c:pt idx="102">
                  <c:v>67201</c:v>
                </c:pt>
                <c:pt idx="103">
                  <c:v>66657</c:v>
                </c:pt>
                <c:pt idx="104">
                  <c:v>66991</c:v>
                </c:pt>
                <c:pt idx="105">
                  <c:v>68502</c:v>
                </c:pt>
                <c:pt idx="106">
                  <c:v>66932</c:v>
                </c:pt>
                <c:pt idx="107">
                  <c:v>66684</c:v>
                </c:pt>
                <c:pt idx="108">
                  <c:v>64091</c:v>
                </c:pt>
                <c:pt idx="109">
                  <c:v>68925</c:v>
                </c:pt>
                <c:pt idx="110">
                  <c:v>71631</c:v>
                </c:pt>
                <c:pt idx="111">
                  <c:v>70392</c:v>
                </c:pt>
                <c:pt idx="112">
                  <c:v>73161</c:v>
                </c:pt>
                <c:pt idx="113">
                  <c:v>74180</c:v>
                </c:pt>
                <c:pt idx="114">
                  <c:v>77287</c:v>
                </c:pt>
                <c:pt idx="115">
                  <c:v>78284</c:v>
                </c:pt>
                <c:pt idx="116">
                  <c:v>78663</c:v>
                </c:pt>
                <c:pt idx="117">
                  <c:v>81244</c:v>
                </c:pt>
                <c:pt idx="118">
                  <c:v>83253</c:v>
                </c:pt>
                <c:pt idx="119">
                  <c:v>76493</c:v>
                </c:pt>
                <c:pt idx="120">
                  <c:v>78522</c:v>
                </c:pt>
                <c:pt idx="121">
                  <c:v>81360</c:v>
                </c:pt>
                <c:pt idx="122">
                  <c:v>85625</c:v>
                </c:pt>
                <c:pt idx="123">
                  <c:v>83294</c:v>
                </c:pt>
                <c:pt idx="124">
                  <c:v>90010</c:v>
                </c:pt>
                <c:pt idx="125">
                  <c:v>89366</c:v>
                </c:pt>
                <c:pt idx="126">
                  <c:v>88434</c:v>
                </c:pt>
                <c:pt idx="127">
                  <c:v>93509</c:v>
                </c:pt>
                <c:pt idx="128">
                  <c:v>93117</c:v>
                </c:pt>
                <c:pt idx="129">
                  <c:v>92758</c:v>
                </c:pt>
                <c:pt idx="130">
                  <c:v>96199</c:v>
                </c:pt>
                <c:pt idx="131">
                  <c:v>90038</c:v>
                </c:pt>
                <c:pt idx="132">
                  <c:v>95140</c:v>
                </c:pt>
                <c:pt idx="133">
                  <c:v>100352</c:v>
                </c:pt>
                <c:pt idx="134">
                  <c:v>103306</c:v>
                </c:pt>
                <c:pt idx="135">
                  <c:v>104410</c:v>
                </c:pt>
                <c:pt idx="136">
                  <c:v>103943</c:v>
                </c:pt>
                <c:pt idx="137">
                  <c:v>101967</c:v>
                </c:pt>
                <c:pt idx="138">
                  <c:v>105969</c:v>
                </c:pt>
                <c:pt idx="139">
                  <c:v>108285</c:v>
                </c:pt>
                <c:pt idx="140">
                  <c:v>104603</c:v>
                </c:pt>
                <c:pt idx="141">
                  <c:v>104457</c:v>
                </c:pt>
                <c:pt idx="142">
                  <c:v>103241</c:v>
                </c:pt>
                <c:pt idx="143">
                  <c:v>99650</c:v>
                </c:pt>
                <c:pt idx="144">
                  <c:v>102161</c:v>
                </c:pt>
                <c:pt idx="145">
                  <c:v>108327</c:v>
                </c:pt>
                <c:pt idx="146">
                  <c:v>107624</c:v>
                </c:pt>
                <c:pt idx="147">
                  <c:v>109578</c:v>
                </c:pt>
                <c:pt idx="148">
                  <c:v>110378</c:v>
                </c:pt>
                <c:pt idx="149">
                  <c:v>111501</c:v>
                </c:pt>
                <c:pt idx="150">
                  <c:v>114362</c:v>
                </c:pt>
                <c:pt idx="151">
                  <c:v>111598</c:v>
                </c:pt>
                <c:pt idx="152">
                  <c:v>108649</c:v>
                </c:pt>
                <c:pt idx="153">
                  <c:v>109321</c:v>
                </c:pt>
                <c:pt idx="154">
                  <c:v>111551</c:v>
                </c:pt>
                <c:pt idx="155">
                  <c:v>102654</c:v>
                </c:pt>
                <c:pt idx="156">
                  <c:v>100693</c:v>
                </c:pt>
                <c:pt idx="157">
                  <c:v>107724</c:v>
                </c:pt>
                <c:pt idx="158">
                  <c:v>107269</c:v>
                </c:pt>
                <c:pt idx="159">
                  <c:v>107041</c:v>
                </c:pt>
                <c:pt idx="160">
                  <c:v>107859</c:v>
                </c:pt>
                <c:pt idx="161">
                  <c:v>105731</c:v>
                </c:pt>
                <c:pt idx="162">
                  <c:v>109956</c:v>
                </c:pt>
                <c:pt idx="163">
                  <c:v>107523</c:v>
                </c:pt>
                <c:pt idx="164">
                  <c:v>109714</c:v>
                </c:pt>
                <c:pt idx="165">
                  <c:v>109723</c:v>
                </c:pt>
                <c:pt idx="166">
                  <c:v>110763</c:v>
                </c:pt>
                <c:pt idx="167">
                  <c:v>103846</c:v>
                </c:pt>
                <c:pt idx="168">
                  <c:v>99605</c:v>
                </c:pt>
                <c:pt idx="169">
                  <c:v>105717</c:v>
                </c:pt>
                <c:pt idx="170">
                  <c:v>105804</c:v>
                </c:pt>
                <c:pt idx="171">
                  <c:v>104051</c:v>
                </c:pt>
                <c:pt idx="172">
                  <c:v>101473</c:v>
                </c:pt>
                <c:pt idx="173">
                  <c:v>97990</c:v>
                </c:pt>
                <c:pt idx="174">
                  <c:v>102004</c:v>
                </c:pt>
                <c:pt idx="175">
                  <c:v>102734</c:v>
                </c:pt>
                <c:pt idx="176">
                  <c:v>104021</c:v>
                </c:pt>
                <c:pt idx="177">
                  <c:v>106345</c:v>
                </c:pt>
                <c:pt idx="178">
                  <c:v>106628</c:v>
                </c:pt>
                <c:pt idx="179">
                  <c:v>99994</c:v>
                </c:pt>
                <c:pt idx="180">
                  <c:v>97466</c:v>
                </c:pt>
                <c:pt idx="181">
                  <c:v>102777</c:v>
                </c:pt>
                <c:pt idx="182">
                  <c:v>100694</c:v>
                </c:pt>
                <c:pt idx="183">
                  <c:v>99790</c:v>
                </c:pt>
                <c:pt idx="184">
                  <c:v>104500</c:v>
                </c:pt>
                <c:pt idx="185">
                  <c:v>101329</c:v>
                </c:pt>
                <c:pt idx="186">
                  <c:v>104307</c:v>
                </c:pt>
                <c:pt idx="187">
                  <c:v>105346</c:v>
                </c:pt>
                <c:pt idx="188">
                  <c:v>100969</c:v>
                </c:pt>
                <c:pt idx="189">
                  <c:v>105926</c:v>
                </c:pt>
                <c:pt idx="190">
                  <c:v>108705</c:v>
                </c:pt>
                <c:pt idx="191">
                  <c:v>100164</c:v>
                </c:pt>
              </c:numCache>
            </c:numRef>
          </c:val>
          <c:smooth val="0"/>
        </c:ser>
        <c:dLbls>
          <c:showLegendKey val="0"/>
          <c:showVal val="0"/>
          <c:showCatName val="0"/>
          <c:showSerName val="0"/>
          <c:showPercent val="0"/>
          <c:showBubbleSize val="0"/>
        </c:dLbls>
        <c:marker val="1"/>
        <c:smooth val="0"/>
        <c:axId val="96603136"/>
        <c:axId val="96609024"/>
      </c:lineChart>
      <c:dateAx>
        <c:axId val="96603136"/>
        <c:scaling>
          <c:orientation val="minMax"/>
          <c:min val="37987"/>
        </c:scaling>
        <c:delete val="0"/>
        <c:axPos val="b"/>
        <c:numFmt formatCode="mmm\-yy" sourceLinked="1"/>
        <c:majorTickMark val="out"/>
        <c:minorTickMark val="none"/>
        <c:tickLblPos val="nextTo"/>
        <c:txPr>
          <a:bodyPr rot="-2700000"/>
          <a:lstStyle/>
          <a:p>
            <a:pPr>
              <a:defRPr/>
            </a:pPr>
            <a:endParaRPr lang="en-US"/>
          </a:p>
        </c:txPr>
        <c:crossAx val="96609024"/>
        <c:crosses val="autoZero"/>
        <c:auto val="1"/>
        <c:lblOffset val="100"/>
        <c:baseTimeUnit val="months"/>
        <c:majorUnit val="6"/>
        <c:majorTimeUnit val="months"/>
      </c:dateAx>
      <c:valAx>
        <c:axId val="96609024"/>
        <c:scaling>
          <c:orientation val="minMax"/>
        </c:scaling>
        <c:delete val="0"/>
        <c:axPos val="l"/>
        <c:majorGridlines/>
        <c:numFmt formatCode="#,##0" sourceLinked="1"/>
        <c:majorTickMark val="out"/>
        <c:minorTickMark val="none"/>
        <c:tickLblPos val="nextTo"/>
        <c:crossAx val="966031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a:t>Exploration FTEs vs Total Exploration Individuals</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sz="1100" b="1" i="0" baseline="0">
                <a:effectLst/>
              </a:rPr>
              <a:t>Includes Employees and contractors</a:t>
            </a:r>
            <a:endParaRPr lang="en-AU" sz="1100"/>
          </a:p>
        </c:rich>
      </c:tx>
      <c:overlay val="0"/>
    </c:title>
    <c:autoTitleDeleted val="0"/>
    <c:plotArea>
      <c:layout/>
      <c:lineChart>
        <c:grouping val="standard"/>
        <c:varyColors val="0"/>
        <c:ser>
          <c:idx val="0"/>
          <c:order val="0"/>
          <c:tx>
            <c:strRef>
              <c:f>'Historic Employment Monthly'!$A$91</c:f>
              <c:strCache>
                <c:ptCount val="1"/>
                <c:pt idx="0">
                  <c:v>Total exploration FTEs</c:v>
                </c:pt>
              </c:strCache>
            </c:strRef>
          </c:tx>
          <c:marker>
            <c:symbol val="none"/>
          </c:marker>
          <c:cat>
            <c:numRef>
              <c:f>'Historic Employment Monthly'!$B$12:$SD$12</c:f>
              <c:numCache>
                <c:formatCode>mmm\-yy</c:formatCode>
                <c:ptCount val="497"/>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numCache>
            </c:numRef>
          </c:cat>
          <c:val>
            <c:numRef>
              <c:f>'Historic Employment Monthly'!$B$93:$SD$93</c:f>
              <c:numCache>
                <c:formatCode>_-* #,##0_-;\-* #,##0_-;_-* "-"??_-;_-@_-</c:formatCode>
                <c:ptCount val="497"/>
                <c:pt idx="0">
                  <c:v>310</c:v>
                </c:pt>
                <c:pt idx="1">
                  <c:v>466</c:v>
                </c:pt>
                <c:pt idx="2">
                  <c:v>495</c:v>
                </c:pt>
                <c:pt idx="3">
                  <c:v>623</c:v>
                </c:pt>
                <c:pt idx="4">
                  <c:v>616</c:v>
                </c:pt>
                <c:pt idx="5">
                  <c:v>676</c:v>
                </c:pt>
                <c:pt idx="6">
                  <c:v>715</c:v>
                </c:pt>
                <c:pt idx="7">
                  <c:v>662</c:v>
                </c:pt>
                <c:pt idx="8">
                  <c:v>740</c:v>
                </c:pt>
                <c:pt idx="9">
                  <c:v>769</c:v>
                </c:pt>
                <c:pt idx="10">
                  <c:v>664</c:v>
                </c:pt>
                <c:pt idx="11">
                  <c:v>515</c:v>
                </c:pt>
                <c:pt idx="12">
                  <c:v>323</c:v>
                </c:pt>
                <c:pt idx="13">
                  <c:v>466</c:v>
                </c:pt>
                <c:pt idx="14">
                  <c:v>411</c:v>
                </c:pt>
                <c:pt idx="15">
                  <c:v>423</c:v>
                </c:pt>
                <c:pt idx="16">
                  <c:v>433</c:v>
                </c:pt>
                <c:pt idx="17">
                  <c:v>337</c:v>
                </c:pt>
                <c:pt idx="18">
                  <c:v>524</c:v>
                </c:pt>
                <c:pt idx="19">
                  <c:v>527</c:v>
                </c:pt>
                <c:pt idx="20">
                  <c:v>500</c:v>
                </c:pt>
                <c:pt idx="21">
                  <c:v>620</c:v>
                </c:pt>
                <c:pt idx="22">
                  <c:v>584</c:v>
                </c:pt>
                <c:pt idx="23">
                  <c:v>424</c:v>
                </c:pt>
                <c:pt idx="24">
                  <c:v>286</c:v>
                </c:pt>
                <c:pt idx="25">
                  <c:v>442</c:v>
                </c:pt>
                <c:pt idx="26">
                  <c:v>462</c:v>
                </c:pt>
                <c:pt idx="27">
                  <c:v>449</c:v>
                </c:pt>
                <c:pt idx="28">
                  <c:v>560</c:v>
                </c:pt>
                <c:pt idx="29">
                  <c:v>574</c:v>
                </c:pt>
                <c:pt idx="30">
                  <c:v>578</c:v>
                </c:pt>
                <c:pt idx="31">
                  <c:v>564</c:v>
                </c:pt>
                <c:pt idx="32">
                  <c:v>553</c:v>
                </c:pt>
                <c:pt idx="33">
                  <c:v>470</c:v>
                </c:pt>
                <c:pt idx="34">
                  <c:v>518</c:v>
                </c:pt>
                <c:pt idx="35">
                  <c:v>382</c:v>
                </c:pt>
                <c:pt idx="36">
                  <c:v>389</c:v>
                </c:pt>
                <c:pt idx="37">
                  <c:v>447</c:v>
                </c:pt>
                <c:pt idx="38">
                  <c:v>428</c:v>
                </c:pt>
                <c:pt idx="39">
                  <c:v>543</c:v>
                </c:pt>
                <c:pt idx="40">
                  <c:v>696</c:v>
                </c:pt>
                <c:pt idx="41">
                  <c:v>736</c:v>
                </c:pt>
                <c:pt idx="42">
                  <c:v>733</c:v>
                </c:pt>
                <c:pt idx="43">
                  <c:v>820</c:v>
                </c:pt>
                <c:pt idx="44">
                  <c:v>918</c:v>
                </c:pt>
                <c:pt idx="45">
                  <c:v>870</c:v>
                </c:pt>
                <c:pt idx="46">
                  <c:v>959</c:v>
                </c:pt>
                <c:pt idx="47">
                  <c:v>640</c:v>
                </c:pt>
                <c:pt idx="48">
                  <c:v>568</c:v>
                </c:pt>
                <c:pt idx="49">
                  <c:v>679</c:v>
                </c:pt>
                <c:pt idx="50">
                  <c:v>832</c:v>
                </c:pt>
                <c:pt idx="51">
                  <c:v>797</c:v>
                </c:pt>
                <c:pt idx="52">
                  <c:v>918</c:v>
                </c:pt>
                <c:pt idx="53">
                  <c:v>756</c:v>
                </c:pt>
                <c:pt idx="54">
                  <c:v>918</c:v>
                </c:pt>
                <c:pt idx="55">
                  <c:v>896</c:v>
                </c:pt>
                <c:pt idx="56">
                  <c:v>968</c:v>
                </c:pt>
                <c:pt idx="57">
                  <c:v>907</c:v>
                </c:pt>
                <c:pt idx="58">
                  <c:v>917</c:v>
                </c:pt>
                <c:pt idx="59">
                  <c:v>649</c:v>
                </c:pt>
                <c:pt idx="60">
                  <c:v>557</c:v>
                </c:pt>
                <c:pt idx="61">
                  <c:v>673</c:v>
                </c:pt>
                <c:pt idx="62">
                  <c:v>721</c:v>
                </c:pt>
                <c:pt idx="63">
                  <c:v>788</c:v>
                </c:pt>
                <c:pt idx="64">
                  <c:v>910</c:v>
                </c:pt>
                <c:pt idx="65">
                  <c:v>1103</c:v>
                </c:pt>
                <c:pt idx="66">
                  <c:v>1167</c:v>
                </c:pt>
                <c:pt idx="67">
                  <c:v>1121</c:v>
                </c:pt>
                <c:pt idx="68">
                  <c:v>1295</c:v>
                </c:pt>
                <c:pt idx="69">
                  <c:v>1381</c:v>
                </c:pt>
                <c:pt idx="70">
                  <c:v>1325</c:v>
                </c:pt>
                <c:pt idx="71">
                  <c:v>861</c:v>
                </c:pt>
                <c:pt idx="72">
                  <c:v>716</c:v>
                </c:pt>
                <c:pt idx="73">
                  <c:v>982</c:v>
                </c:pt>
                <c:pt idx="74">
                  <c:v>1087</c:v>
                </c:pt>
                <c:pt idx="75">
                  <c:v>1193</c:v>
                </c:pt>
                <c:pt idx="76">
                  <c:v>1597</c:v>
                </c:pt>
                <c:pt idx="77">
                  <c:v>1776</c:v>
                </c:pt>
                <c:pt idx="78">
                  <c:v>1652</c:v>
                </c:pt>
                <c:pt idx="79">
                  <c:v>1723</c:v>
                </c:pt>
                <c:pt idx="80">
                  <c:v>1969</c:v>
                </c:pt>
                <c:pt idx="81">
                  <c:v>2095</c:v>
                </c:pt>
                <c:pt idx="82">
                  <c:v>2195</c:v>
                </c:pt>
                <c:pt idx="83">
                  <c:v>1619</c:v>
                </c:pt>
                <c:pt idx="84">
                  <c:v>1356</c:v>
                </c:pt>
                <c:pt idx="85">
                  <c:v>1931</c:v>
                </c:pt>
                <c:pt idx="86">
                  <c:v>2214</c:v>
                </c:pt>
                <c:pt idx="87">
                  <c:v>2418</c:v>
                </c:pt>
                <c:pt idx="88">
                  <c:v>2415</c:v>
                </c:pt>
                <c:pt idx="89">
                  <c:v>2639</c:v>
                </c:pt>
                <c:pt idx="90">
                  <c:v>3015</c:v>
                </c:pt>
                <c:pt idx="91">
                  <c:v>3204</c:v>
                </c:pt>
                <c:pt idx="92">
                  <c:v>3123</c:v>
                </c:pt>
                <c:pt idx="93">
                  <c:v>3210</c:v>
                </c:pt>
                <c:pt idx="94">
                  <c:v>2910</c:v>
                </c:pt>
                <c:pt idx="95">
                  <c:v>2248</c:v>
                </c:pt>
                <c:pt idx="96">
                  <c:v>1275</c:v>
                </c:pt>
                <c:pt idx="97">
                  <c:v>1642</c:v>
                </c:pt>
                <c:pt idx="98">
                  <c:v>1837</c:v>
                </c:pt>
                <c:pt idx="99">
                  <c:v>1966</c:v>
                </c:pt>
                <c:pt idx="100">
                  <c:v>2259</c:v>
                </c:pt>
                <c:pt idx="101">
                  <c:v>2330</c:v>
                </c:pt>
                <c:pt idx="102">
                  <c:v>2674</c:v>
                </c:pt>
                <c:pt idx="103">
                  <c:v>2666</c:v>
                </c:pt>
                <c:pt idx="104">
                  <c:v>2794</c:v>
                </c:pt>
                <c:pt idx="105">
                  <c:v>3088</c:v>
                </c:pt>
                <c:pt idx="106">
                  <c:v>3104</c:v>
                </c:pt>
                <c:pt idx="107">
                  <c:v>2459</c:v>
                </c:pt>
                <c:pt idx="108">
                  <c:v>1973</c:v>
                </c:pt>
                <c:pt idx="109">
                  <c:v>2515</c:v>
                </c:pt>
                <c:pt idx="110">
                  <c:v>2940</c:v>
                </c:pt>
                <c:pt idx="111">
                  <c:v>3163</c:v>
                </c:pt>
                <c:pt idx="112">
                  <c:v>3395</c:v>
                </c:pt>
                <c:pt idx="113">
                  <c:v>3499</c:v>
                </c:pt>
                <c:pt idx="114">
                  <c:v>3670</c:v>
                </c:pt>
                <c:pt idx="115">
                  <c:v>3649</c:v>
                </c:pt>
                <c:pt idx="116">
                  <c:v>3621</c:v>
                </c:pt>
                <c:pt idx="117">
                  <c:v>3724</c:v>
                </c:pt>
                <c:pt idx="118">
                  <c:v>3978</c:v>
                </c:pt>
                <c:pt idx="119">
                  <c:v>2947</c:v>
                </c:pt>
                <c:pt idx="120">
                  <c:v>2235</c:v>
                </c:pt>
                <c:pt idx="121">
                  <c:v>2533</c:v>
                </c:pt>
                <c:pt idx="122">
                  <c:v>3306</c:v>
                </c:pt>
                <c:pt idx="123">
                  <c:v>3602</c:v>
                </c:pt>
                <c:pt idx="124">
                  <c:v>3910</c:v>
                </c:pt>
                <c:pt idx="125">
                  <c:v>4022</c:v>
                </c:pt>
                <c:pt idx="126">
                  <c:v>3975</c:v>
                </c:pt>
                <c:pt idx="127">
                  <c:v>4145</c:v>
                </c:pt>
                <c:pt idx="128">
                  <c:v>4205</c:v>
                </c:pt>
                <c:pt idx="129">
                  <c:v>4445</c:v>
                </c:pt>
                <c:pt idx="130">
                  <c:v>4527</c:v>
                </c:pt>
                <c:pt idx="131">
                  <c:v>3032</c:v>
                </c:pt>
                <c:pt idx="132">
                  <c:v>2303</c:v>
                </c:pt>
                <c:pt idx="133">
                  <c:v>3985</c:v>
                </c:pt>
                <c:pt idx="134">
                  <c:v>4078</c:v>
                </c:pt>
                <c:pt idx="135">
                  <c:v>4216</c:v>
                </c:pt>
                <c:pt idx="136">
                  <c:v>4398</c:v>
                </c:pt>
                <c:pt idx="137">
                  <c:v>4139</c:v>
                </c:pt>
                <c:pt idx="138">
                  <c:v>4025</c:v>
                </c:pt>
                <c:pt idx="139">
                  <c:v>3925</c:v>
                </c:pt>
                <c:pt idx="140">
                  <c:v>3418</c:v>
                </c:pt>
                <c:pt idx="141">
                  <c:v>3194</c:v>
                </c:pt>
                <c:pt idx="142">
                  <c:v>3038</c:v>
                </c:pt>
                <c:pt idx="143">
                  <c:v>1879</c:v>
                </c:pt>
                <c:pt idx="144">
                  <c:v>1360</c:v>
                </c:pt>
                <c:pt idx="145">
                  <c:v>2031</c:v>
                </c:pt>
                <c:pt idx="146">
                  <c:v>2236</c:v>
                </c:pt>
                <c:pt idx="147">
                  <c:v>2586</c:v>
                </c:pt>
                <c:pt idx="148">
                  <c:v>2660</c:v>
                </c:pt>
                <c:pt idx="149">
                  <c:v>2522</c:v>
                </c:pt>
                <c:pt idx="150">
                  <c:v>2566</c:v>
                </c:pt>
                <c:pt idx="151">
                  <c:v>2615</c:v>
                </c:pt>
                <c:pt idx="152">
                  <c:v>2840</c:v>
                </c:pt>
                <c:pt idx="153">
                  <c:v>2864</c:v>
                </c:pt>
                <c:pt idx="154">
                  <c:v>2836</c:v>
                </c:pt>
                <c:pt idx="155">
                  <c:v>1721</c:v>
                </c:pt>
                <c:pt idx="156">
                  <c:v>1280</c:v>
                </c:pt>
                <c:pt idx="157">
                  <c:v>1829</c:v>
                </c:pt>
                <c:pt idx="158">
                  <c:v>2244</c:v>
                </c:pt>
                <c:pt idx="159">
                  <c:v>2464</c:v>
                </c:pt>
                <c:pt idx="160">
                  <c:v>2743</c:v>
                </c:pt>
                <c:pt idx="161">
                  <c:v>2660</c:v>
                </c:pt>
                <c:pt idx="162">
                  <c:v>2522</c:v>
                </c:pt>
                <c:pt idx="163">
                  <c:v>2358</c:v>
                </c:pt>
                <c:pt idx="164">
                  <c:v>2456</c:v>
                </c:pt>
                <c:pt idx="165">
                  <c:v>2539</c:v>
                </c:pt>
                <c:pt idx="166">
                  <c:v>2491</c:v>
                </c:pt>
                <c:pt idx="167">
                  <c:v>1420</c:v>
                </c:pt>
                <c:pt idx="168">
                  <c:v>1019</c:v>
                </c:pt>
                <c:pt idx="169">
                  <c:v>1434</c:v>
                </c:pt>
                <c:pt idx="170">
                  <c:v>2019</c:v>
                </c:pt>
                <c:pt idx="171">
                  <c:v>1838</c:v>
                </c:pt>
                <c:pt idx="172">
                  <c:v>1951</c:v>
                </c:pt>
                <c:pt idx="173">
                  <c:v>2103</c:v>
                </c:pt>
                <c:pt idx="174">
                  <c:v>2200</c:v>
                </c:pt>
                <c:pt idx="175">
                  <c:v>2220</c:v>
                </c:pt>
                <c:pt idx="176">
                  <c:v>2268</c:v>
                </c:pt>
                <c:pt idx="177">
                  <c:v>2195</c:v>
                </c:pt>
                <c:pt idx="178">
                  <c:v>2181</c:v>
                </c:pt>
                <c:pt idx="179">
                  <c:v>1459</c:v>
                </c:pt>
                <c:pt idx="180">
                  <c:v>910</c:v>
                </c:pt>
                <c:pt idx="181">
                  <c:v>1547</c:v>
                </c:pt>
                <c:pt idx="182">
                  <c:v>1884</c:v>
                </c:pt>
                <c:pt idx="183">
                  <c:v>2012</c:v>
                </c:pt>
                <c:pt idx="184">
                  <c:v>2105</c:v>
                </c:pt>
                <c:pt idx="185">
                  <c:v>1907</c:v>
                </c:pt>
                <c:pt idx="186">
                  <c:v>1891</c:v>
                </c:pt>
                <c:pt idx="187">
                  <c:v>2261</c:v>
                </c:pt>
                <c:pt idx="188">
                  <c:v>2400</c:v>
                </c:pt>
                <c:pt idx="189">
                  <c:v>2405</c:v>
                </c:pt>
                <c:pt idx="190">
                  <c:v>2339</c:v>
                </c:pt>
                <c:pt idx="191">
                  <c:v>1383</c:v>
                </c:pt>
              </c:numCache>
            </c:numRef>
          </c:val>
          <c:smooth val="0"/>
        </c:ser>
        <c:ser>
          <c:idx val="1"/>
          <c:order val="1"/>
          <c:tx>
            <c:strRef>
              <c:f>'Historic Employment Monthly'!$A$178</c:f>
              <c:strCache>
                <c:ptCount val="1"/>
                <c:pt idx="0">
                  <c:v>Total exploration Number reported</c:v>
                </c:pt>
              </c:strCache>
            </c:strRef>
          </c:tx>
          <c:marker>
            <c:symbol val="none"/>
          </c:marker>
          <c:cat>
            <c:numRef>
              <c:f>'Historic Employment Monthly'!$B$12:$SD$12</c:f>
              <c:numCache>
                <c:formatCode>mmm\-yy</c:formatCode>
                <c:ptCount val="497"/>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numCache>
            </c:numRef>
          </c:cat>
          <c:val>
            <c:numRef>
              <c:f>'Historic Employment Monthly'!$B$180:$SD$180</c:f>
              <c:numCache>
                <c:formatCode>_-* #,##0_-;\-* #,##0_-;_-* "-"??_-;_-@_-</c:formatCode>
                <c:ptCount val="497"/>
                <c:pt idx="0">
                  <c:v>465</c:v>
                </c:pt>
                <c:pt idx="1">
                  <c:v>528</c:v>
                </c:pt>
                <c:pt idx="2">
                  <c:v>480</c:v>
                </c:pt>
                <c:pt idx="3">
                  <c:v>620</c:v>
                </c:pt>
                <c:pt idx="4">
                  <c:v>637</c:v>
                </c:pt>
                <c:pt idx="5">
                  <c:v>662</c:v>
                </c:pt>
                <c:pt idx="6">
                  <c:v>731</c:v>
                </c:pt>
                <c:pt idx="7">
                  <c:v>672</c:v>
                </c:pt>
                <c:pt idx="8">
                  <c:v>733</c:v>
                </c:pt>
                <c:pt idx="9">
                  <c:v>782</c:v>
                </c:pt>
                <c:pt idx="10">
                  <c:v>708</c:v>
                </c:pt>
                <c:pt idx="11">
                  <c:v>666</c:v>
                </c:pt>
                <c:pt idx="12">
                  <c:v>483</c:v>
                </c:pt>
                <c:pt idx="13">
                  <c:v>536</c:v>
                </c:pt>
                <c:pt idx="14">
                  <c:v>429</c:v>
                </c:pt>
                <c:pt idx="15">
                  <c:v>463</c:v>
                </c:pt>
                <c:pt idx="16">
                  <c:v>499</c:v>
                </c:pt>
                <c:pt idx="17">
                  <c:v>375</c:v>
                </c:pt>
                <c:pt idx="18">
                  <c:v>566</c:v>
                </c:pt>
                <c:pt idx="19">
                  <c:v>552</c:v>
                </c:pt>
                <c:pt idx="20">
                  <c:v>526</c:v>
                </c:pt>
                <c:pt idx="21">
                  <c:v>661</c:v>
                </c:pt>
                <c:pt idx="22">
                  <c:v>663</c:v>
                </c:pt>
                <c:pt idx="23">
                  <c:v>539</c:v>
                </c:pt>
                <c:pt idx="24">
                  <c:v>443</c:v>
                </c:pt>
                <c:pt idx="25">
                  <c:v>505</c:v>
                </c:pt>
                <c:pt idx="26">
                  <c:v>530</c:v>
                </c:pt>
                <c:pt idx="27">
                  <c:v>564</c:v>
                </c:pt>
                <c:pt idx="28">
                  <c:v>578</c:v>
                </c:pt>
                <c:pt idx="29">
                  <c:v>644</c:v>
                </c:pt>
                <c:pt idx="30">
                  <c:v>614</c:v>
                </c:pt>
                <c:pt idx="31">
                  <c:v>563</c:v>
                </c:pt>
                <c:pt idx="32">
                  <c:v>567</c:v>
                </c:pt>
                <c:pt idx="33">
                  <c:v>470</c:v>
                </c:pt>
                <c:pt idx="34">
                  <c:v>513</c:v>
                </c:pt>
                <c:pt idx="35">
                  <c:v>432</c:v>
                </c:pt>
                <c:pt idx="36">
                  <c:v>443</c:v>
                </c:pt>
                <c:pt idx="37">
                  <c:v>435</c:v>
                </c:pt>
                <c:pt idx="38">
                  <c:v>474</c:v>
                </c:pt>
                <c:pt idx="39">
                  <c:v>581</c:v>
                </c:pt>
                <c:pt idx="40">
                  <c:v>667</c:v>
                </c:pt>
                <c:pt idx="41">
                  <c:v>661</c:v>
                </c:pt>
                <c:pt idx="42">
                  <c:v>688</c:v>
                </c:pt>
                <c:pt idx="43">
                  <c:v>740</c:v>
                </c:pt>
                <c:pt idx="44">
                  <c:v>792</c:v>
                </c:pt>
                <c:pt idx="45">
                  <c:v>793</c:v>
                </c:pt>
                <c:pt idx="46">
                  <c:v>809</c:v>
                </c:pt>
                <c:pt idx="47">
                  <c:v>637</c:v>
                </c:pt>
                <c:pt idx="48">
                  <c:v>600</c:v>
                </c:pt>
                <c:pt idx="49">
                  <c:v>673</c:v>
                </c:pt>
                <c:pt idx="50">
                  <c:v>721</c:v>
                </c:pt>
                <c:pt idx="51">
                  <c:v>717</c:v>
                </c:pt>
                <c:pt idx="52">
                  <c:v>784</c:v>
                </c:pt>
                <c:pt idx="53">
                  <c:v>713</c:v>
                </c:pt>
                <c:pt idx="54">
                  <c:v>785</c:v>
                </c:pt>
                <c:pt idx="55">
                  <c:v>778</c:v>
                </c:pt>
                <c:pt idx="56">
                  <c:v>759</c:v>
                </c:pt>
                <c:pt idx="57">
                  <c:v>791</c:v>
                </c:pt>
                <c:pt idx="58">
                  <c:v>883</c:v>
                </c:pt>
                <c:pt idx="59">
                  <c:v>612</c:v>
                </c:pt>
                <c:pt idx="60">
                  <c:v>581</c:v>
                </c:pt>
                <c:pt idx="61">
                  <c:v>739</c:v>
                </c:pt>
                <c:pt idx="62">
                  <c:v>679</c:v>
                </c:pt>
                <c:pt idx="63">
                  <c:v>713</c:v>
                </c:pt>
                <c:pt idx="64">
                  <c:v>786</c:v>
                </c:pt>
                <c:pt idx="65">
                  <c:v>914</c:v>
                </c:pt>
                <c:pt idx="66">
                  <c:v>1017</c:v>
                </c:pt>
                <c:pt idx="67">
                  <c:v>1058</c:v>
                </c:pt>
                <c:pt idx="68">
                  <c:v>1196</c:v>
                </c:pt>
                <c:pt idx="69">
                  <c:v>1134</c:v>
                </c:pt>
                <c:pt idx="70">
                  <c:v>1210</c:v>
                </c:pt>
                <c:pt idx="71">
                  <c:v>983</c:v>
                </c:pt>
                <c:pt idx="72">
                  <c:v>802</c:v>
                </c:pt>
                <c:pt idx="73">
                  <c:v>994</c:v>
                </c:pt>
                <c:pt idx="74">
                  <c:v>1105</c:v>
                </c:pt>
                <c:pt idx="75">
                  <c:v>1203</c:v>
                </c:pt>
                <c:pt idx="76">
                  <c:v>1732</c:v>
                </c:pt>
                <c:pt idx="77">
                  <c:v>1583</c:v>
                </c:pt>
                <c:pt idx="78">
                  <c:v>1608</c:v>
                </c:pt>
                <c:pt idx="79">
                  <c:v>1472</c:v>
                </c:pt>
                <c:pt idx="80">
                  <c:v>1714</c:v>
                </c:pt>
                <c:pt idx="81">
                  <c:v>1883</c:v>
                </c:pt>
                <c:pt idx="82">
                  <c:v>1864</c:v>
                </c:pt>
                <c:pt idx="83">
                  <c:v>1690</c:v>
                </c:pt>
                <c:pt idx="84">
                  <c:v>1325</c:v>
                </c:pt>
                <c:pt idx="85">
                  <c:v>1775</c:v>
                </c:pt>
                <c:pt idx="86">
                  <c:v>1950</c:v>
                </c:pt>
                <c:pt idx="87">
                  <c:v>2072</c:v>
                </c:pt>
                <c:pt idx="88">
                  <c:v>2158</c:v>
                </c:pt>
                <c:pt idx="89">
                  <c:v>2258</c:v>
                </c:pt>
                <c:pt idx="90">
                  <c:v>2571</c:v>
                </c:pt>
                <c:pt idx="91">
                  <c:v>2789</c:v>
                </c:pt>
                <c:pt idx="92">
                  <c:v>2832</c:v>
                </c:pt>
                <c:pt idx="93">
                  <c:v>2950</c:v>
                </c:pt>
                <c:pt idx="94">
                  <c:v>2700</c:v>
                </c:pt>
                <c:pt idx="95">
                  <c:v>2171</c:v>
                </c:pt>
                <c:pt idx="96">
                  <c:v>1464</c:v>
                </c:pt>
                <c:pt idx="97">
                  <c:v>1676</c:v>
                </c:pt>
                <c:pt idx="98">
                  <c:v>1883</c:v>
                </c:pt>
                <c:pt idx="99">
                  <c:v>2111</c:v>
                </c:pt>
                <c:pt idx="100">
                  <c:v>2307</c:v>
                </c:pt>
                <c:pt idx="101">
                  <c:v>2376</c:v>
                </c:pt>
                <c:pt idx="102">
                  <c:v>2662</c:v>
                </c:pt>
                <c:pt idx="103">
                  <c:v>2649</c:v>
                </c:pt>
                <c:pt idx="104">
                  <c:v>2803</c:v>
                </c:pt>
                <c:pt idx="105">
                  <c:v>2795</c:v>
                </c:pt>
                <c:pt idx="106">
                  <c:v>2914</c:v>
                </c:pt>
                <c:pt idx="107">
                  <c:v>2614</c:v>
                </c:pt>
                <c:pt idx="108">
                  <c:v>2111</c:v>
                </c:pt>
                <c:pt idx="109">
                  <c:v>2473</c:v>
                </c:pt>
                <c:pt idx="110">
                  <c:v>2845</c:v>
                </c:pt>
                <c:pt idx="111">
                  <c:v>3074</c:v>
                </c:pt>
                <c:pt idx="112">
                  <c:v>3384</c:v>
                </c:pt>
                <c:pt idx="113">
                  <c:v>3436</c:v>
                </c:pt>
                <c:pt idx="114">
                  <c:v>3629</c:v>
                </c:pt>
                <c:pt idx="115">
                  <c:v>3536</c:v>
                </c:pt>
                <c:pt idx="116">
                  <c:v>3715</c:v>
                </c:pt>
                <c:pt idx="117">
                  <c:v>3698</c:v>
                </c:pt>
                <c:pt idx="118">
                  <c:v>3712</c:v>
                </c:pt>
                <c:pt idx="119">
                  <c:v>3109</c:v>
                </c:pt>
                <c:pt idx="120">
                  <c:v>2054</c:v>
                </c:pt>
                <c:pt idx="121">
                  <c:v>2367</c:v>
                </c:pt>
                <c:pt idx="122">
                  <c:v>2922</c:v>
                </c:pt>
                <c:pt idx="123">
                  <c:v>3289</c:v>
                </c:pt>
                <c:pt idx="124">
                  <c:v>4380</c:v>
                </c:pt>
                <c:pt idx="125">
                  <c:v>3650</c:v>
                </c:pt>
                <c:pt idx="126">
                  <c:v>3666</c:v>
                </c:pt>
                <c:pt idx="127">
                  <c:v>3889</c:v>
                </c:pt>
                <c:pt idx="128">
                  <c:v>4226</c:v>
                </c:pt>
                <c:pt idx="129">
                  <c:v>4099</c:v>
                </c:pt>
                <c:pt idx="130">
                  <c:v>4302</c:v>
                </c:pt>
                <c:pt idx="131">
                  <c:v>3430</c:v>
                </c:pt>
                <c:pt idx="132">
                  <c:v>2350</c:v>
                </c:pt>
                <c:pt idx="133">
                  <c:v>3621</c:v>
                </c:pt>
                <c:pt idx="134">
                  <c:v>3638</c:v>
                </c:pt>
                <c:pt idx="135">
                  <c:v>3456</c:v>
                </c:pt>
                <c:pt idx="136">
                  <c:v>3693</c:v>
                </c:pt>
                <c:pt idx="137">
                  <c:v>3462</c:v>
                </c:pt>
                <c:pt idx="138">
                  <c:v>3434</c:v>
                </c:pt>
                <c:pt idx="139">
                  <c:v>3355</c:v>
                </c:pt>
                <c:pt idx="140">
                  <c:v>3147</c:v>
                </c:pt>
                <c:pt idx="141">
                  <c:v>3213</c:v>
                </c:pt>
                <c:pt idx="142">
                  <c:v>3165</c:v>
                </c:pt>
                <c:pt idx="143">
                  <c:v>2339</c:v>
                </c:pt>
                <c:pt idx="144">
                  <c:v>1558</c:v>
                </c:pt>
                <c:pt idx="145">
                  <c:v>2114</c:v>
                </c:pt>
                <c:pt idx="146">
                  <c:v>2187</c:v>
                </c:pt>
                <c:pt idx="147">
                  <c:v>2472</c:v>
                </c:pt>
                <c:pt idx="148">
                  <c:v>2446</c:v>
                </c:pt>
                <c:pt idx="149">
                  <c:v>2327</c:v>
                </c:pt>
                <c:pt idx="150">
                  <c:v>2418</c:v>
                </c:pt>
                <c:pt idx="151">
                  <c:v>2805</c:v>
                </c:pt>
                <c:pt idx="152">
                  <c:v>2560</c:v>
                </c:pt>
                <c:pt idx="153">
                  <c:v>2472</c:v>
                </c:pt>
                <c:pt idx="154">
                  <c:v>2466</c:v>
                </c:pt>
                <c:pt idx="155">
                  <c:v>1989</c:v>
                </c:pt>
                <c:pt idx="156">
                  <c:v>1695</c:v>
                </c:pt>
                <c:pt idx="157">
                  <c:v>1997</c:v>
                </c:pt>
                <c:pt idx="158">
                  <c:v>2103</c:v>
                </c:pt>
                <c:pt idx="159">
                  <c:v>2269</c:v>
                </c:pt>
                <c:pt idx="160">
                  <c:v>2545</c:v>
                </c:pt>
                <c:pt idx="161">
                  <c:v>2516</c:v>
                </c:pt>
                <c:pt idx="162">
                  <c:v>2226</c:v>
                </c:pt>
                <c:pt idx="163">
                  <c:v>2240</c:v>
                </c:pt>
                <c:pt idx="164">
                  <c:v>2405</c:v>
                </c:pt>
                <c:pt idx="165">
                  <c:v>2460</c:v>
                </c:pt>
                <c:pt idx="166">
                  <c:v>2580</c:v>
                </c:pt>
                <c:pt idx="167">
                  <c:v>1853</c:v>
                </c:pt>
                <c:pt idx="168">
                  <c:v>1266</c:v>
                </c:pt>
                <c:pt idx="169">
                  <c:v>1896</c:v>
                </c:pt>
                <c:pt idx="170">
                  <c:v>2335</c:v>
                </c:pt>
                <c:pt idx="171">
                  <c:v>2162</c:v>
                </c:pt>
                <c:pt idx="172">
                  <c:v>2325</c:v>
                </c:pt>
                <c:pt idx="173">
                  <c:v>2393</c:v>
                </c:pt>
                <c:pt idx="174">
                  <c:v>2521</c:v>
                </c:pt>
                <c:pt idx="175">
                  <c:v>2621</c:v>
                </c:pt>
                <c:pt idx="176">
                  <c:v>2810</c:v>
                </c:pt>
                <c:pt idx="177">
                  <c:v>2436</c:v>
                </c:pt>
                <c:pt idx="178">
                  <c:v>2391</c:v>
                </c:pt>
                <c:pt idx="179">
                  <c:v>1904</c:v>
                </c:pt>
                <c:pt idx="180">
                  <c:v>1027</c:v>
                </c:pt>
                <c:pt idx="181">
                  <c:v>1718</c:v>
                </c:pt>
                <c:pt idx="182">
                  <c:v>2008</c:v>
                </c:pt>
                <c:pt idx="183">
                  <c:v>2195</c:v>
                </c:pt>
                <c:pt idx="184">
                  <c:v>2263</c:v>
                </c:pt>
                <c:pt idx="185">
                  <c:v>2113</c:v>
                </c:pt>
                <c:pt idx="186">
                  <c:v>2167</c:v>
                </c:pt>
                <c:pt idx="187">
                  <c:v>2432</c:v>
                </c:pt>
                <c:pt idx="188">
                  <c:v>2551</c:v>
                </c:pt>
                <c:pt idx="189">
                  <c:v>2495</c:v>
                </c:pt>
                <c:pt idx="190">
                  <c:v>2668</c:v>
                </c:pt>
                <c:pt idx="191">
                  <c:v>2027</c:v>
                </c:pt>
              </c:numCache>
            </c:numRef>
          </c:val>
          <c:smooth val="0"/>
        </c:ser>
        <c:dLbls>
          <c:showLegendKey val="0"/>
          <c:showVal val="0"/>
          <c:showCatName val="0"/>
          <c:showSerName val="0"/>
          <c:showPercent val="0"/>
          <c:showBubbleSize val="0"/>
        </c:dLbls>
        <c:marker val="1"/>
        <c:smooth val="0"/>
        <c:axId val="96704000"/>
        <c:axId val="96705536"/>
      </c:lineChart>
      <c:dateAx>
        <c:axId val="96704000"/>
        <c:scaling>
          <c:orientation val="minMax"/>
        </c:scaling>
        <c:delete val="0"/>
        <c:axPos val="b"/>
        <c:numFmt formatCode="mmm\-yy" sourceLinked="1"/>
        <c:majorTickMark val="out"/>
        <c:minorTickMark val="none"/>
        <c:tickLblPos val="nextTo"/>
        <c:txPr>
          <a:bodyPr rot="-2700000"/>
          <a:lstStyle/>
          <a:p>
            <a:pPr>
              <a:defRPr/>
            </a:pPr>
            <a:endParaRPr lang="en-US"/>
          </a:p>
        </c:txPr>
        <c:crossAx val="96705536"/>
        <c:crosses val="autoZero"/>
        <c:auto val="1"/>
        <c:lblOffset val="100"/>
        <c:baseTimeUnit val="months"/>
        <c:majorUnit val="6"/>
        <c:majorTimeUnit val="months"/>
      </c:dateAx>
      <c:valAx>
        <c:axId val="96705536"/>
        <c:scaling>
          <c:orientation val="minMax"/>
        </c:scaling>
        <c:delete val="0"/>
        <c:axPos val="l"/>
        <c:majorGridlines/>
        <c:numFmt formatCode="_-* #,##0_-;\-* #,##0_-;_-* &quot;-&quot;??_-;_-@_-" sourceLinked="1"/>
        <c:majorTickMark val="out"/>
        <c:minorTickMark val="none"/>
        <c:tickLblPos val="nextTo"/>
        <c:crossAx val="967040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a:t>RBA index of non-rural commodity prices</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sz="1100" b="0" i="0" baseline="0">
                <a:effectLst/>
              </a:rPr>
              <a:t>2014-2015 = 100</a:t>
            </a:r>
            <a:endParaRPr lang="en-AU" sz="1100">
              <a:effectLst/>
            </a:endParaRPr>
          </a:p>
        </c:rich>
      </c:tx>
      <c:overlay val="0"/>
    </c:title>
    <c:autoTitleDeleted val="0"/>
    <c:plotArea>
      <c:layout>
        <c:manualLayout>
          <c:layoutTarget val="inner"/>
          <c:xMode val="edge"/>
          <c:yMode val="edge"/>
          <c:x val="9.7817066984274031E-2"/>
          <c:y val="0.1519090286128027"/>
          <c:w val="0.85819360815192214"/>
          <c:h val="0.66272944330234584"/>
        </c:manualLayout>
      </c:layout>
      <c:lineChart>
        <c:grouping val="standard"/>
        <c:varyColors val="0"/>
        <c:ser>
          <c:idx val="0"/>
          <c:order val="0"/>
          <c:tx>
            <c:strRef>
              <c:f>'RBA spreadsheet of Comm prices'!$Q$39</c:f>
              <c:strCache>
                <c:ptCount val="1"/>
                <c:pt idx="0">
                  <c:v>A$</c:v>
                </c:pt>
              </c:strCache>
            </c:strRef>
          </c:tx>
          <c:marker>
            <c:symbol val="none"/>
          </c:marker>
          <c:cat>
            <c:numRef>
              <c:f>'RBA spreadsheet of Comm prices'!$P$40:$P$63</c:f>
              <c:numCache>
                <c:formatCode>mmm\-yy</c:formatCode>
                <c:ptCount val="2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numCache>
            </c:numRef>
          </c:cat>
          <c:val>
            <c:numRef>
              <c:f>'RBA spreadsheet of Comm prices'!$Q$40:$Q$63</c:f>
              <c:numCache>
                <c:formatCode>0.000</c:formatCode>
                <c:ptCount val="24"/>
                <c:pt idx="0">
                  <c:v>103.3</c:v>
                </c:pt>
                <c:pt idx="1">
                  <c:v>102.8</c:v>
                </c:pt>
                <c:pt idx="2">
                  <c:v>98.1</c:v>
                </c:pt>
                <c:pt idx="3">
                  <c:v>92</c:v>
                </c:pt>
                <c:pt idx="4">
                  <c:v>91.2</c:v>
                </c:pt>
                <c:pt idx="5">
                  <c:v>94</c:v>
                </c:pt>
                <c:pt idx="6">
                  <c:v>92.3</c:v>
                </c:pt>
                <c:pt idx="7">
                  <c:v>92.4</c:v>
                </c:pt>
                <c:pt idx="8">
                  <c:v>95.5</c:v>
                </c:pt>
                <c:pt idx="9">
                  <c:v>91.4</c:v>
                </c:pt>
                <c:pt idx="10">
                  <c:v>86.3</c:v>
                </c:pt>
                <c:pt idx="11">
                  <c:v>80.5</c:v>
                </c:pt>
                <c:pt idx="12">
                  <c:v>81.2</c:v>
                </c:pt>
                <c:pt idx="13">
                  <c:v>83.3</c:v>
                </c:pt>
                <c:pt idx="14">
                  <c:v>84.3</c:v>
                </c:pt>
                <c:pt idx="15">
                  <c:v>85.8</c:v>
                </c:pt>
                <c:pt idx="16">
                  <c:v>88.9</c:v>
                </c:pt>
                <c:pt idx="17">
                  <c:v>86.8</c:v>
                </c:pt>
                <c:pt idx="18">
                  <c:v>88.2</c:v>
                </c:pt>
                <c:pt idx="19">
                  <c:v>90.8</c:v>
                </c:pt>
                <c:pt idx="20">
                  <c:v>94</c:v>
                </c:pt>
                <c:pt idx="21">
                  <c:v>96.8</c:v>
                </c:pt>
                <c:pt idx="22">
                  <c:v>107.1</c:v>
                </c:pt>
                <c:pt idx="23">
                  <c:v>120.1</c:v>
                </c:pt>
              </c:numCache>
            </c:numRef>
          </c:val>
          <c:smooth val="0"/>
        </c:ser>
        <c:ser>
          <c:idx val="1"/>
          <c:order val="1"/>
          <c:tx>
            <c:strRef>
              <c:f>'RBA spreadsheet of Comm prices'!$R$39</c:f>
              <c:strCache>
                <c:ptCount val="1"/>
                <c:pt idx="0">
                  <c:v>SDR</c:v>
                </c:pt>
              </c:strCache>
            </c:strRef>
          </c:tx>
          <c:marker>
            <c:symbol val="none"/>
          </c:marker>
          <c:cat>
            <c:numRef>
              <c:f>'RBA spreadsheet of Comm prices'!$P$40:$P$63</c:f>
              <c:numCache>
                <c:formatCode>mmm\-yy</c:formatCode>
                <c:ptCount val="2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numCache>
            </c:numRef>
          </c:cat>
          <c:val>
            <c:numRef>
              <c:f>'RBA spreadsheet of Comm prices'!$R$40:$R$63</c:f>
              <c:numCache>
                <c:formatCode>0.000</c:formatCode>
                <c:ptCount val="24"/>
                <c:pt idx="0">
                  <c:v>101.6</c:v>
                </c:pt>
                <c:pt idx="1">
                  <c:v>98.3</c:v>
                </c:pt>
                <c:pt idx="2">
                  <c:v>94.9</c:v>
                </c:pt>
                <c:pt idx="3">
                  <c:v>89.1</c:v>
                </c:pt>
                <c:pt idx="4">
                  <c:v>88.9</c:v>
                </c:pt>
                <c:pt idx="5">
                  <c:v>89.6</c:v>
                </c:pt>
                <c:pt idx="6">
                  <c:v>85</c:v>
                </c:pt>
                <c:pt idx="7">
                  <c:v>83.3</c:v>
                </c:pt>
                <c:pt idx="8">
                  <c:v>83</c:v>
                </c:pt>
                <c:pt idx="9">
                  <c:v>81.099999999999994</c:v>
                </c:pt>
                <c:pt idx="10">
                  <c:v>77.400000000000006</c:v>
                </c:pt>
                <c:pt idx="11">
                  <c:v>73</c:v>
                </c:pt>
                <c:pt idx="12">
                  <c:v>71.599999999999994</c:v>
                </c:pt>
                <c:pt idx="13">
                  <c:v>73.8</c:v>
                </c:pt>
                <c:pt idx="14">
                  <c:v>78.400000000000006</c:v>
                </c:pt>
                <c:pt idx="15">
                  <c:v>80.900000000000006</c:v>
                </c:pt>
                <c:pt idx="16">
                  <c:v>79.900000000000006</c:v>
                </c:pt>
                <c:pt idx="17">
                  <c:v>79.099999999999994</c:v>
                </c:pt>
                <c:pt idx="18">
                  <c:v>82.7</c:v>
                </c:pt>
                <c:pt idx="19">
                  <c:v>85.8</c:v>
                </c:pt>
                <c:pt idx="20">
                  <c:v>88.5</c:v>
                </c:pt>
                <c:pt idx="21">
                  <c:v>92.5</c:v>
                </c:pt>
                <c:pt idx="22">
                  <c:v>102.3</c:v>
                </c:pt>
                <c:pt idx="23">
                  <c:v>113.5</c:v>
                </c:pt>
              </c:numCache>
            </c:numRef>
          </c:val>
          <c:smooth val="0"/>
        </c:ser>
        <c:ser>
          <c:idx val="2"/>
          <c:order val="2"/>
          <c:tx>
            <c:strRef>
              <c:f>'RBA spreadsheet of Comm prices'!$S$39</c:f>
              <c:strCache>
                <c:ptCount val="1"/>
                <c:pt idx="0">
                  <c:v>US$</c:v>
                </c:pt>
              </c:strCache>
            </c:strRef>
          </c:tx>
          <c:marker>
            <c:symbol val="none"/>
          </c:marker>
          <c:cat>
            <c:numRef>
              <c:f>'RBA spreadsheet of Comm prices'!$P$40:$P$63</c:f>
              <c:numCache>
                <c:formatCode>mmm\-yy</c:formatCode>
                <c:ptCount val="24"/>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numCache>
            </c:numRef>
          </c:cat>
          <c:val>
            <c:numRef>
              <c:f>'RBA spreadsheet of Comm prices'!$S$40:$S$63</c:f>
              <c:numCache>
                <c:formatCode>0.000</c:formatCode>
                <c:ptCount val="24"/>
                <c:pt idx="0">
                  <c:v>99.7</c:v>
                </c:pt>
                <c:pt idx="1">
                  <c:v>95.5</c:v>
                </c:pt>
                <c:pt idx="2">
                  <c:v>90.5</c:v>
                </c:pt>
                <c:pt idx="3">
                  <c:v>84.7</c:v>
                </c:pt>
                <c:pt idx="4">
                  <c:v>85.9</c:v>
                </c:pt>
                <c:pt idx="5">
                  <c:v>86.5</c:v>
                </c:pt>
                <c:pt idx="6">
                  <c:v>81.7</c:v>
                </c:pt>
                <c:pt idx="7">
                  <c:v>80.400000000000006</c:v>
                </c:pt>
                <c:pt idx="8">
                  <c:v>80.3</c:v>
                </c:pt>
                <c:pt idx="9">
                  <c:v>78.5</c:v>
                </c:pt>
                <c:pt idx="10">
                  <c:v>73.599999999999994</c:v>
                </c:pt>
                <c:pt idx="11">
                  <c:v>69.599999999999994</c:v>
                </c:pt>
                <c:pt idx="12">
                  <c:v>68.099999999999994</c:v>
                </c:pt>
                <c:pt idx="13">
                  <c:v>70.8</c:v>
                </c:pt>
                <c:pt idx="14">
                  <c:v>75.2</c:v>
                </c:pt>
                <c:pt idx="15">
                  <c:v>78.400000000000006</c:v>
                </c:pt>
                <c:pt idx="16">
                  <c:v>77.599999999999994</c:v>
                </c:pt>
                <c:pt idx="17">
                  <c:v>76.599999999999994</c:v>
                </c:pt>
                <c:pt idx="18">
                  <c:v>79.099999999999994</c:v>
                </c:pt>
                <c:pt idx="19">
                  <c:v>82.6</c:v>
                </c:pt>
                <c:pt idx="20">
                  <c:v>85.1</c:v>
                </c:pt>
                <c:pt idx="21">
                  <c:v>87.9</c:v>
                </c:pt>
                <c:pt idx="22">
                  <c:v>96.2</c:v>
                </c:pt>
                <c:pt idx="23">
                  <c:v>105.2</c:v>
                </c:pt>
              </c:numCache>
            </c:numRef>
          </c:val>
          <c:smooth val="0"/>
        </c:ser>
        <c:dLbls>
          <c:showLegendKey val="0"/>
          <c:showVal val="0"/>
          <c:showCatName val="0"/>
          <c:showSerName val="0"/>
          <c:showPercent val="0"/>
          <c:showBubbleSize val="0"/>
        </c:dLbls>
        <c:marker val="1"/>
        <c:smooth val="0"/>
        <c:axId val="148874752"/>
        <c:axId val="148876672"/>
      </c:lineChart>
      <c:dateAx>
        <c:axId val="148874752"/>
        <c:scaling>
          <c:orientation val="minMax"/>
        </c:scaling>
        <c:delete val="0"/>
        <c:axPos val="b"/>
        <c:title>
          <c:tx>
            <c:rich>
              <a:bodyPr/>
              <a:lstStyle/>
              <a:p>
                <a:pPr>
                  <a:defRPr/>
                </a:pPr>
                <a:r>
                  <a:rPr lang="en-AU"/>
                  <a:t>Source: Reserve Bank</a:t>
                </a:r>
                <a:r>
                  <a:rPr lang="en-AU" baseline="0"/>
                  <a:t> of Australia</a:t>
                </a:r>
              </a:p>
            </c:rich>
          </c:tx>
          <c:layout>
            <c:manualLayout>
              <c:xMode val="edge"/>
              <c:yMode val="edge"/>
              <c:x val="2.1451475192107012E-2"/>
              <c:y val="0.92657794852055453"/>
            </c:manualLayout>
          </c:layout>
          <c:overlay val="0"/>
        </c:title>
        <c:numFmt formatCode="mmm\-yy" sourceLinked="0"/>
        <c:majorTickMark val="none"/>
        <c:minorTickMark val="none"/>
        <c:tickLblPos val="nextTo"/>
        <c:txPr>
          <a:bodyPr rot="-2700000" vert="horz"/>
          <a:lstStyle/>
          <a:p>
            <a:pPr>
              <a:defRPr/>
            </a:pPr>
            <a:endParaRPr lang="en-US"/>
          </a:p>
        </c:txPr>
        <c:crossAx val="148876672"/>
        <c:crosses val="autoZero"/>
        <c:auto val="0"/>
        <c:lblOffset val="100"/>
        <c:baseTimeUnit val="months"/>
        <c:majorUnit val="1"/>
        <c:majorTimeUnit val="months"/>
      </c:dateAx>
      <c:valAx>
        <c:axId val="148876672"/>
        <c:scaling>
          <c:orientation val="minMax"/>
          <c:min val="40"/>
        </c:scaling>
        <c:delete val="0"/>
        <c:axPos val="l"/>
        <c:majorGridlines/>
        <c:numFmt formatCode="0.00" sourceLinked="0"/>
        <c:majorTickMark val="none"/>
        <c:minorTickMark val="none"/>
        <c:tickLblPos val="nextTo"/>
        <c:txPr>
          <a:bodyPr rot="0" vert="horz"/>
          <a:lstStyle/>
          <a:p>
            <a:pPr>
              <a:defRPr/>
            </a:pPr>
            <a:endParaRPr lang="en-US"/>
          </a:p>
        </c:txPr>
        <c:crossAx val="148874752"/>
        <c:crosses val="autoZero"/>
        <c:crossBetween val="midCat"/>
      </c:valAx>
    </c:plotArea>
    <c:legend>
      <c:legendPos val="b"/>
      <c:overlay val="0"/>
    </c:legend>
    <c:plotVisOnly val="1"/>
    <c:dispBlanksAs val="gap"/>
    <c:showDLblsOverMax val="0"/>
  </c:chart>
  <c:printSettings>
    <c:headerFooter alignWithMargins="0"/>
    <c:pageMargins b="3.1496062992125986" l="2.1653543307086607" r="2.1653543307086607" t="3.1496062992125986" header="0.51181102362204722" footer="0.51181102362204722"/>
    <c:pageSetup paperSize="9" orientation="portrait" horizontalDpi="-4"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endParaRPr lang="en-AU" sz="1600"/>
          </a:p>
          <a:p>
            <a:pPr>
              <a:defRPr/>
            </a:pPr>
            <a:endParaRPr lang="en-AU" sz="1600"/>
          </a:p>
          <a:p>
            <a:pPr>
              <a:defRPr/>
            </a:pPr>
            <a:endParaRPr lang="en-AU" sz="1600"/>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Exports!$C$28:$D$28</c:f>
              <c:strCache>
                <c:ptCount val="2"/>
                <c:pt idx="0">
                  <c:v>Mineral and petroleum exports</c:v>
                </c:pt>
                <c:pt idx="1">
                  <c:v>Other WA Exports</c:v>
                </c:pt>
              </c:strCache>
            </c:strRef>
          </c:cat>
          <c:val>
            <c:numRef>
              <c:f>Exports!$C$29:$D$29</c:f>
              <c:numCache>
                <c:formatCode>_-"$"* #,##0_-;\-"$"* #,##0_-;_-"$"* "-"??_-;_-@_-</c:formatCode>
                <c:ptCount val="2"/>
                <c:pt idx="0">
                  <c:v>95303498998.139999</c:v>
                </c:pt>
                <c:pt idx="1">
                  <c:v>10589935001.860001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4400"/>
            </a:pPr>
            <a:r>
              <a:rPr lang="en-AU" sz="4400"/>
              <a:t> </a:t>
            </a:r>
          </a:p>
        </c:rich>
      </c:tx>
      <c:overlay val="0"/>
    </c:title>
    <c:autoTitleDeleted val="0"/>
    <c:plotArea>
      <c:layout/>
      <c:pieChart>
        <c:varyColors val="1"/>
        <c:ser>
          <c:idx val="0"/>
          <c:order val="0"/>
          <c:dLbls>
            <c:showLegendKey val="0"/>
            <c:showVal val="0"/>
            <c:showCatName val="1"/>
            <c:showSerName val="0"/>
            <c:showPercent val="1"/>
            <c:showBubbleSize val="0"/>
            <c:showLeaderLines val="1"/>
          </c:dLbls>
          <c:cat>
            <c:strRef>
              <c:f>Exports!$F$29:$F$36</c:f>
              <c:strCache>
                <c:ptCount val="8"/>
                <c:pt idx="0">
                  <c:v>Alumina</c:v>
                </c:pt>
                <c:pt idx="1">
                  <c:v>Base metals</c:v>
                </c:pt>
                <c:pt idx="2">
                  <c:v>Nickel</c:v>
                </c:pt>
                <c:pt idx="3">
                  <c:v>Gold</c:v>
                </c:pt>
                <c:pt idx="4">
                  <c:v>Mineral sands</c:v>
                </c:pt>
                <c:pt idx="5">
                  <c:v>Iron ore</c:v>
                </c:pt>
                <c:pt idx="6">
                  <c:v>Petroleum</c:v>
                </c:pt>
                <c:pt idx="7">
                  <c:v>Other *</c:v>
                </c:pt>
              </c:strCache>
            </c:strRef>
          </c:cat>
          <c:val>
            <c:numRef>
              <c:f>Exports!$G$29:$G$36</c:f>
              <c:numCache>
                <c:formatCode>"$"#,##0_);[Red]\("$"#,##0\)</c:formatCode>
                <c:ptCount val="8"/>
                <c:pt idx="0">
                  <c:v>4487354818.96</c:v>
                </c:pt>
                <c:pt idx="1">
                  <c:v>1628967103.8</c:v>
                </c:pt>
                <c:pt idx="2">
                  <c:v>1532944502.77</c:v>
                </c:pt>
                <c:pt idx="3">
                  <c:v>17751200000</c:v>
                </c:pt>
                <c:pt idx="4">
                  <c:v>738964749.97000003</c:v>
                </c:pt>
                <c:pt idx="5">
                  <c:v>53882142375</c:v>
                </c:pt>
                <c:pt idx="6">
                  <c:v>14252654720.129999</c:v>
                </c:pt>
                <c:pt idx="7">
                  <c:v>1029270727.51</c:v>
                </c:pt>
              </c:numCache>
            </c:numRef>
          </c:val>
        </c:ser>
        <c:dLbls>
          <c:showLegendKey val="0"/>
          <c:showVal val="0"/>
          <c:showCatName val="1"/>
          <c:showSerName val="0"/>
          <c:showPercent val="1"/>
          <c:showBubbleSize val="0"/>
          <c:showLeaderLines val="1"/>
        </c:dLbls>
        <c:firstSliceAng val="42"/>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1" i="1"/>
            </a:pPr>
            <a:r>
              <a:rPr lang="en-AU" sz="2400" b="1" i="1"/>
              <a:t>  </a:t>
            </a:r>
          </a:p>
          <a:p>
            <a:pPr>
              <a:defRPr sz="2400" b="1" i="1"/>
            </a:pPr>
            <a:r>
              <a:rPr lang="en-AU" sz="2400" b="1" i="1"/>
              <a:t> </a:t>
            </a:r>
          </a:p>
        </c:rich>
      </c:tx>
      <c:overlay val="0"/>
    </c:title>
    <c:autoTitleDeleted val="0"/>
    <c:plotArea>
      <c:layout/>
      <c:pieChart>
        <c:varyColors val="1"/>
        <c:ser>
          <c:idx val="0"/>
          <c:order val="0"/>
          <c:dLbls>
            <c:numFmt formatCode="0.0%" sourceLinked="0"/>
            <c:showLegendKey val="0"/>
            <c:showVal val="0"/>
            <c:showCatName val="1"/>
            <c:showSerName val="0"/>
            <c:showPercent val="1"/>
            <c:showBubbleSize val="0"/>
            <c:showLeaderLines val="1"/>
          </c:dLbls>
          <c:cat>
            <c:strRef>
              <c:f>Exports!$B$62:$B$72</c:f>
              <c:strCache>
                <c:ptCount val="11"/>
                <c:pt idx="0">
                  <c:v>China</c:v>
                </c:pt>
                <c:pt idx="1">
                  <c:v>Japan</c:v>
                </c:pt>
                <c:pt idx="2">
                  <c:v>United Kingdom</c:v>
                </c:pt>
                <c:pt idx="3">
                  <c:v>Hong Kong (SAR of China)</c:v>
                </c:pt>
                <c:pt idx="4">
                  <c:v>Korea, Republic of</c:v>
                </c:pt>
                <c:pt idx="5">
                  <c:v>Singapore</c:v>
                </c:pt>
                <c:pt idx="6">
                  <c:v>Indonesia</c:v>
                </c:pt>
                <c:pt idx="7">
                  <c:v>Taiwan</c:v>
                </c:pt>
                <c:pt idx="8">
                  <c:v>Germany</c:v>
                </c:pt>
                <c:pt idx="9">
                  <c:v>India</c:v>
                </c:pt>
                <c:pt idx="10">
                  <c:v>Other</c:v>
                </c:pt>
              </c:strCache>
            </c:strRef>
          </c:cat>
          <c:val>
            <c:numRef>
              <c:f>Exports!$C$62:$C$72</c:f>
              <c:numCache>
                <c:formatCode>_("$"* #,##0.00_);_("$"* \(#,##0.00\);_("$"* "-"??_);_(@_)</c:formatCode>
                <c:ptCount val="11"/>
                <c:pt idx="0">
                  <c:v>51251.392999999996</c:v>
                </c:pt>
                <c:pt idx="1">
                  <c:v>13831.75</c:v>
                </c:pt>
                <c:pt idx="2">
                  <c:v>7485.2820000000002</c:v>
                </c:pt>
                <c:pt idx="3">
                  <c:v>6681.2240000000002</c:v>
                </c:pt>
                <c:pt idx="4">
                  <c:v>6041.1329999999998</c:v>
                </c:pt>
                <c:pt idx="5">
                  <c:v>2277.0039999999999</c:v>
                </c:pt>
                <c:pt idx="6">
                  <c:v>2104.5279999999998</c:v>
                </c:pt>
                <c:pt idx="7">
                  <c:v>1583.586</c:v>
                </c:pt>
                <c:pt idx="8">
                  <c:v>1334.0429999999999</c:v>
                </c:pt>
                <c:pt idx="9">
                  <c:v>1317.9829999999999</c:v>
                </c:pt>
                <c:pt idx="10">
                  <c:v>11985.508</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AU"/>
              <a:t> </a:t>
            </a:r>
            <a:br>
              <a:rPr lang="en-AU"/>
            </a:br>
            <a:r>
              <a:rPr lang="en-AU"/>
              <a:t> </a:t>
            </a:r>
            <a:endParaRPr lang="en-AU" sz="1100"/>
          </a:p>
        </c:rich>
      </c:tx>
      <c:overlay val="0"/>
    </c:title>
    <c:autoTitleDeleted val="0"/>
    <c:plotArea>
      <c:layout/>
      <c:pieChart>
        <c:varyColors val="1"/>
        <c:ser>
          <c:idx val="0"/>
          <c:order val="0"/>
          <c:dPt>
            <c:idx val="0"/>
            <c:bubble3D val="0"/>
            <c:explosion val="12"/>
          </c:dPt>
          <c:dLbls>
            <c:dLbl>
              <c:idx val="4"/>
              <c:layout>
                <c:manualLayout>
                  <c:x val="-4.1013162828330667E-2"/>
                  <c:y val="-0.1007579189587603"/>
                </c:manualLayout>
              </c:layout>
              <c:showLegendKey val="0"/>
              <c:showVal val="0"/>
              <c:showCatName val="1"/>
              <c:showSerName val="0"/>
              <c:showPercent val="1"/>
              <c:showBubbleSize val="0"/>
            </c:dLbl>
            <c:dLbl>
              <c:idx val="5"/>
              <c:layout>
                <c:manualLayout>
                  <c:x val="8.9383103427860988E-2"/>
                  <c:y val="-3.4031088579680964E-2"/>
                </c:manualLayout>
              </c:layout>
              <c:showLegendKey val="0"/>
              <c:showVal val="0"/>
              <c:showCatName val="1"/>
              <c:showSerName val="0"/>
              <c:showPercent val="1"/>
              <c:showBubbleSize val="0"/>
            </c:dLbl>
            <c:dLbl>
              <c:idx val="6"/>
              <c:layout>
                <c:manualLayout>
                  <c:x val="7.0372190318315472E-2"/>
                  <c:y val="3.4749457687652058E-2"/>
                </c:manualLayout>
              </c:layout>
              <c:showLegendKey val="0"/>
              <c:showVal val="0"/>
              <c:showCatName val="1"/>
              <c:showSerName val="0"/>
              <c:showPercent val="1"/>
              <c:showBubbleSize val="0"/>
            </c:dLbl>
            <c:dLbl>
              <c:idx val="7"/>
              <c:layout>
                <c:manualLayout>
                  <c:x val="3.1698142995283486E-2"/>
                  <c:y val="0.15458071165761814"/>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(Exports!$F$62:$F$69,Exports!$F$72)</c:f>
              <c:strCache>
                <c:ptCount val="9"/>
                <c:pt idx="0">
                  <c:v>Western Australia</c:v>
                </c:pt>
                <c:pt idx="1">
                  <c:v>Queensland</c:v>
                </c:pt>
                <c:pt idx="2">
                  <c:v>New South Wales</c:v>
                </c:pt>
                <c:pt idx="3">
                  <c:v>Victoria</c:v>
                </c:pt>
                <c:pt idx="4">
                  <c:v>South Australia</c:v>
                </c:pt>
                <c:pt idx="5">
                  <c:v>Northern Territory</c:v>
                </c:pt>
                <c:pt idx="6">
                  <c:v>Tasmania</c:v>
                </c:pt>
                <c:pt idx="7">
                  <c:v>Australian Capital Territory</c:v>
                </c:pt>
                <c:pt idx="8">
                  <c:v>Total Other</c:v>
                </c:pt>
              </c:strCache>
            </c:strRef>
          </c:cat>
          <c:val>
            <c:numRef>
              <c:f>(Exports!$G$62:$G$69,Exports!$G$72)</c:f>
              <c:numCache>
                <c:formatCode>_-"$"* #,##0_-;\-"$"* #,##0_-;_-"$"* "-"??_-;_-@_-</c:formatCode>
                <c:ptCount val="9"/>
                <c:pt idx="0">
                  <c:v>105893</c:v>
                </c:pt>
                <c:pt idx="1">
                  <c:v>52708</c:v>
                </c:pt>
                <c:pt idx="2">
                  <c:v>38373</c:v>
                </c:pt>
                <c:pt idx="3">
                  <c:v>23293</c:v>
                </c:pt>
                <c:pt idx="4">
                  <c:v>10641</c:v>
                </c:pt>
                <c:pt idx="5">
                  <c:v>4351</c:v>
                </c:pt>
                <c:pt idx="6">
                  <c:v>2649</c:v>
                </c:pt>
                <c:pt idx="7">
                  <c:v>29</c:v>
                </c:pt>
                <c:pt idx="8">
                  <c:v>17256</c:v>
                </c:pt>
              </c:numCache>
            </c:numRef>
          </c:val>
        </c:ser>
        <c:dLbls>
          <c:showLegendKey val="0"/>
          <c:showVal val="0"/>
          <c:showCatName val="0"/>
          <c:showSerName val="0"/>
          <c:showPercent val="0"/>
          <c:showBubbleSize val="0"/>
          <c:showLeaderLines val="1"/>
        </c:dLbls>
        <c:firstSliceAng val="90"/>
      </c:pie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'WA vs Australia vs The World'!$I$11</c:f>
          <c:strCache>
            <c:ptCount val="1"/>
            <c:pt idx="0">
              <c:v>Western Australia's Share of Global Production 2016</c:v>
            </c:pt>
          </c:strCache>
        </c:strRef>
      </c:tx>
      <c:overlay val="0"/>
      <c:txPr>
        <a:bodyPr/>
        <a:lstStyle/>
        <a:p>
          <a:pPr>
            <a:defRPr/>
          </a:pPr>
          <a:endParaRPr lang="en-US"/>
        </a:p>
      </c:txPr>
    </c:title>
    <c:autoTitleDeleted val="0"/>
    <c:plotArea>
      <c:layout/>
      <c:barChart>
        <c:barDir val="bar"/>
        <c:grouping val="percentStacked"/>
        <c:varyColors val="0"/>
        <c:ser>
          <c:idx val="0"/>
          <c:order val="0"/>
          <c:tx>
            <c:strRef>
              <c:f>'WA vs Australia vs The World'!$C$8</c:f>
              <c:strCache>
                <c:ptCount val="1"/>
                <c:pt idx="0">
                  <c:v>Western Australia</c:v>
                </c:pt>
              </c:strCache>
            </c:strRef>
          </c:tx>
          <c:invertIfNegative val="0"/>
          <c:cat>
            <c:strRef>
              <c:f>'WA vs Australia vs The World'!$B$9:$B$21</c:f>
              <c:strCache>
                <c:ptCount val="13"/>
                <c:pt idx="0">
                  <c:v>Alumina</c:v>
                </c:pt>
                <c:pt idx="1">
                  <c:v>Cobalt</c:v>
                </c:pt>
                <c:pt idx="2">
                  <c:v>Diamonds</c:v>
                </c:pt>
                <c:pt idx="3">
                  <c:v>Garnet</c:v>
                </c:pt>
                <c:pt idx="4">
                  <c:v>Gold</c:v>
                </c:pt>
                <c:pt idx="5">
                  <c:v>Ilmenite</c:v>
                </c:pt>
                <c:pt idx="6">
                  <c:v>Iron ore</c:v>
                </c:pt>
                <c:pt idx="7">
                  <c:v>LNG</c:v>
                </c:pt>
                <c:pt idx="8">
                  <c:v>Nickel</c:v>
                </c:pt>
                <c:pt idx="9">
                  <c:v>Rare Earth Oxides</c:v>
                </c:pt>
                <c:pt idx="10">
                  <c:v>Rutile</c:v>
                </c:pt>
                <c:pt idx="11">
                  <c:v>Salt</c:v>
                </c:pt>
                <c:pt idx="12">
                  <c:v>Zircon</c:v>
                </c:pt>
              </c:strCache>
            </c:strRef>
          </c:cat>
          <c:val>
            <c:numRef>
              <c:f>'WA vs Australia vs The World'!$C$9:$C$21</c:f>
              <c:numCache>
                <c:formatCode>0%</c:formatCode>
                <c:ptCount val="13"/>
                <c:pt idx="0">
                  <c:v>0.1198</c:v>
                </c:pt>
                <c:pt idx="1">
                  <c:v>4.1799999999999997E-2</c:v>
                </c:pt>
                <c:pt idx="2">
                  <c:v>7.8700000000000006E-2</c:v>
                </c:pt>
                <c:pt idx="3">
                  <c:v>0.33800000000000002</c:v>
                </c:pt>
                <c:pt idx="4">
                  <c:v>6.0400000000000002E-2</c:v>
                </c:pt>
                <c:pt idx="5">
                  <c:v>0.1106</c:v>
                </c:pt>
                <c:pt idx="6">
                  <c:v>0.3745</c:v>
                </c:pt>
                <c:pt idx="7">
                  <c:v>9.0200000000000002E-2</c:v>
                </c:pt>
                <c:pt idx="8">
                  <c:v>7.3599999999999999E-2</c:v>
                </c:pt>
                <c:pt idx="9">
                  <c:v>0.1336</c:v>
                </c:pt>
                <c:pt idx="10">
                  <c:v>0.4138</c:v>
                </c:pt>
                <c:pt idx="11">
                  <c:v>4.0800000000000003E-2</c:v>
                </c:pt>
                <c:pt idx="12">
                  <c:v>8.4099999999999994E-2</c:v>
                </c:pt>
              </c:numCache>
            </c:numRef>
          </c:val>
        </c:ser>
        <c:ser>
          <c:idx val="1"/>
          <c:order val="1"/>
          <c:tx>
            <c:strRef>
              <c:f>'WA vs Australia vs The World'!$D$8</c:f>
              <c:strCache>
                <c:ptCount val="1"/>
                <c:pt idx="0">
                  <c:v>Rest of Australia</c:v>
                </c:pt>
              </c:strCache>
            </c:strRef>
          </c:tx>
          <c:invertIfNegative val="0"/>
          <c:cat>
            <c:strRef>
              <c:f>'WA vs Australia vs The World'!$B$9:$B$21</c:f>
              <c:strCache>
                <c:ptCount val="13"/>
                <c:pt idx="0">
                  <c:v>Alumina</c:v>
                </c:pt>
                <c:pt idx="1">
                  <c:v>Cobalt</c:v>
                </c:pt>
                <c:pt idx="2">
                  <c:v>Diamonds</c:v>
                </c:pt>
                <c:pt idx="3">
                  <c:v>Garnet</c:v>
                </c:pt>
                <c:pt idx="4">
                  <c:v>Gold</c:v>
                </c:pt>
                <c:pt idx="5">
                  <c:v>Ilmenite</c:v>
                </c:pt>
                <c:pt idx="6">
                  <c:v>Iron ore</c:v>
                </c:pt>
                <c:pt idx="7">
                  <c:v>LNG</c:v>
                </c:pt>
                <c:pt idx="8">
                  <c:v>Nickel</c:v>
                </c:pt>
                <c:pt idx="9">
                  <c:v>Rare Earth Oxides</c:v>
                </c:pt>
                <c:pt idx="10">
                  <c:v>Rutile</c:v>
                </c:pt>
                <c:pt idx="11">
                  <c:v>Salt</c:v>
                </c:pt>
                <c:pt idx="12">
                  <c:v>Zircon</c:v>
                </c:pt>
              </c:strCache>
            </c:strRef>
          </c:cat>
          <c:val>
            <c:numRef>
              <c:f>'WA vs Australia vs The World'!$D$9:$D$21</c:f>
              <c:numCache>
                <c:formatCode>0%</c:formatCode>
                <c:ptCount val="13"/>
                <c:pt idx="0">
                  <c:v>5.9299999999999999E-2</c:v>
                </c:pt>
                <c:pt idx="1">
                  <c:v>0</c:v>
                </c:pt>
                <c:pt idx="2">
                  <c:v>0</c:v>
                </c:pt>
                <c:pt idx="3">
                  <c:v>0</c:v>
                </c:pt>
                <c:pt idx="4">
                  <c:v>2.8299999999999999E-2</c:v>
                </c:pt>
                <c:pt idx="5">
                  <c:v>1.23E-2</c:v>
                </c:pt>
                <c:pt idx="6">
                  <c:v>5.7000000000000002E-3</c:v>
                </c:pt>
                <c:pt idx="7">
                  <c:v>8.14E-2</c:v>
                </c:pt>
                <c:pt idx="8">
                  <c:v>0</c:v>
                </c:pt>
                <c:pt idx="9">
                  <c:v>0</c:v>
                </c:pt>
                <c:pt idx="10">
                  <c:v>5.7299999999999997E-2</c:v>
                </c:pt>
                <c:pt idx="11">
                  <c:v>6.1999999999999998E-3</c:v>
                </c:pt>
                <c:pt idx="12">
                  <c:v>0.29260000000000003</c:v>
                </c:pt>
              </c:numCache>
            </c:numRef>
          </c:val>
        </c:ser>
        <c:ser>
          <c:idx val="2"/>
          <c:order val="2"/>
          <c:tx>
            <c:strRef>
              <c:f>'WA vs Australia vs The World'!$E$8</c:f>
              <c:strCache>
                <c:ptCount val="1"/>
                <c:pt idx="0">
                  <c:v>Rest of World</c:v>
                </c:pt>
              </c:strCache>
            </c:strRef>
          </c:tx>
          <c:invertIfNegative val="0"/>
          <c:cat>
            <c:strRef>
              <c:f>'WA vs Australia vs The World'!$B$9:$B$21</c:f>
              <c:strCache>
                <c:ptCount val="13"/>
                <c:pt idx="0">
                  <c:v>Alumina</c:v>
                </c:pt>
                <c:pt idx="1">
                  <c:v>Cobalt</c:v>
                </c:pt>
                <c:pt idx="2">
                  <c:v>Diamonds</c:v>
                </c:pt>
                <c:pt idx="3">
                  <c:v>Garnet</c:v>
                </c:pt>
                <c:pt idx="4">
                  <c:v>Gold</c:v>
                </c:pt>
                <c:pt idx="5">
                  <c:v>Ilmenite</c:v>
                </c:pt>
                <c:pt idx="6">
                  <c:v>Iron ore</c:v>
                </c:pt>
                <c:pt idx="7">
                  <c:v>LNG</c:v>
                </c:pt>
                <c:pt idx="8">
                  <c:v>Nickel</c:v>
                </c:pt>
                <c:pt idx="9">
                  <c:v>Rare Earth Oxides</c:v>
                </c:pt>
                <c:pt idx="10">
                  <c:v>Rutile</c:v>
                </c:pt>
                <c:pt idx="11">
                  <c:v>Salt</c:v>
                </c:pt>
                <c:pt idx="12">
                  <c:v>Zircon</c:v>
                </c:pt>
              </c:strCache>
            </c:strRef>
          </c:cat>
          <c:val>
            <c:numRef>
              <c:f>'WA vs Australia vs The World'!$E$9:$E$21</c:f>
              <c:numCache>
                <c:formatCode>0%</c:formatCode>
                <c:ptCount val="13"/>
                <c:pt idx="0">
                  <c:v>0.82089999999999996</c:v>
                </c:pt>
                <c:pt idx="1">
                  <c:v>0.95820000000000005</c:v>
                </c:pt>
                <c:pt idx="2">
                  <c:v>0.92130000000000001</c:v>
                </c:pt>
                <c:pt idx="3">
                  <c:v>0.66200000000000003</c:v>
                </c:pt>
                <c:pt idx="4">
                  <c:v>0.91120000000000001</c:v>
                </c:pt>
                <c:pt idx="5">
                  <c:v>0.87709999999999999</c:v>
                </c:pt>
                <c:pt idx="6">
                  <c:v>0.61980000000000002</c:v>
                </c:pt>
                <c:pt idx="7">
                  <c:v>0.82840000000000003</c:v>
                </c:pt>
                <c:pt idx="8">
                  <c:v>0.9264</c:v>
                </c:pt>
                <c:pt idx="9">
                  <c:v>0.86639999999999995</c:v>
                </c:pt>
                <c:pt idx="10">
                  <c:v>0.52890000000000004</c:v>
                </c:pt>
                <c:pt idx="11">
                  <c:v>0.95289999999999997</c:v>
                </c:pt>
                <c:pt idx="12">
                  <c:v>0.62329999999999997</c:v>
                </c:pt>
              </c:numCache>
            </c:numRef>
          </c:val>
        </c:ser>
        <c:dLbls>
          <c:showLegendKey val="0"/>
          <c:showVal val="0"/>
          <c:showCatName val="0"/>
          <c:showSerName val="0"/>
          <c:showPercent val="0"/>
          <c:showBubbleSize val="0"/>
        </c:dLbls>
        <c:gapWidth val="150"/>
        <c:overlap val="100"/>
        <c:axId val="93114752"/>
        <c:axId val="93116288"/>
      </c:barChart>
      <c:catAx>
        <c:axId val="93114752"/>
        <c:scaling>
          <c:orientation val="maxMin"/>
        </c:scaling>
        <c:delete val="0"/>
        <c:axPos val="l"/>
        <c:majorTickMark val="out"/>
        <c:minorTickMark val="none"/>
        <c:tickLblPos val="nextTo"/>
        <c:crossAx val="93116288"/>
        <c:crosses val="autoZero"/>
        <c:auto val="1"/>
        <c:lblAlgn val="ctr"/>
        <c:lblOffset val="100"/>
        <c:noMultiLvlLbl val="0"/>
      </c:catAx>
      <c:valAx>
        <c:axId val="93116288"/>
        <c:scaling>
          <c:orientation val="minMax"/>
          <c:max val="1"/>
          <c:min val="0"/>
        </c:scaling>
        <c:delete val="0"/>
        <c:axPos val="t"/>
        <c:majorGridlines/>
        <c:numFmt formatCode="0%" sourceLinked="1"/>
        <c:majorTickMark val="out"/>
        <c:minorTickMark val="none"/>
        <c:tickLblPos val="nextTo"/>
        <c:crossAx val="931147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5.png"/><Relationship Id="rId1" Type="http://schemas.openxmlformats.org/officeDocument/2006/relationships/hyperlink" Target="#Index!A1"/><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5.png"/><Relationship Id="rId1" Type="http://schemas.openxmlformats.org/officeDocument/2006/relationships/hyperlink" Target="#Index!A1"/><Relationship Id="rId4"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5.png"/><Relationship Id="rId1" Type="http://schemas.openxmlformats.org/officeDocument/2006/relationships/hyperlink" Target="#Index!A1"/><Relationship Id="rId4"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5.png"/><Relationship Id="rId1" Type="http://schemas.openxmlformats.org/officeDocument/2006/relationships/hyperlink" Target="#Index!A1"/><Relationship Id="rId5" Type="http://schemas.openxmlformats.org/officeDocument/2006/relationships/chart" Target="../charts/chart16.xml"/><Relationship Id="rId4"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chart" Target="../charts/chart17.xml"/><Relationship Id="rId7" Type="http://schemas.openxmlformats.org/officeDocument/2006/relationships/image" Target="../media/image6.gif"/><Relationship Id="rId2" Type="http://schemas.openxmlformats.org/officeDocument/2006/relationships/image" Target="../media/image5.png"/><Relationship Id="rId1" Type="http://schemas.openxmlformats.org/officeDocument/2006/relationships/hyperlink" Target="#Index!A1"/><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5.png"/><Relationship Id="rId1" Type="http://schemas.openxmlformats.org/officeDocument/2006/relationships/hyperlink" Target="#Index!A1"/><Relationship Id="rId4"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image" Target="../media/image5.png"/><Relationship Id="rId1" Type="http://schemas.openxmlformats.org/officeDocument/2006/relationships/hyperlink" Target="#Index!A1"/><Relationship Id="rId4"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29.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image" Target="../media/image5.png"/><Relationship Id="rId1" Type="http://schemas.openxmlformats.org/officeDocument/2006/relationships/hyperlink" Target="#Index!A1"/><Relationship Id="rId4"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05100" cy="6477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0</xdr:colOff>
          <xdr:row>31</xdr:row>
          <xdr:rowOff>19050</xdr:rowOff>
        </xdr:from>
        <xdr:to>
          <xdr:col>3</xdr:col>
          <xdr:colOff>4181475</xdr:colOff>
          <xdr:row>53</xdr:row>
          <xdr:rowOff>133350</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13</xdr:col>
      <xdr:colOff>369570</xdr:colOff>
      <xdr:row>8</xdr:row>
      <xdr:rowOff>66675</xdr:rowOff>
    </xdr:from>
    <xdr:to>
      <xdr:col>22</xdr:col>
      <xdr:colOff>274320</xdr:colOff>
      <xdr:row>32</xdr:row>
      <xdr:rowOff>135255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26228</xdr:rowOff>
    </xdr:from>
    <xdr:to>
      <xdr:col>4</xdr:col>
      <xdr:colOff>219453</xdr:colOff>
      <xdr:row>3</xdr:row>
      <xdr:rowOff>102518</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6228"/>
          <a:ext cx="2705478" cy="647790"/>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0.64107</cdr:x>
      <cdr:y>0.9431</cdr:y>
    </cdr:from>
    <cdr:to>
      <cdr:x>0.70196</cdr:x>
      <cdr:y>0.995</cdr:y>
    </cdr:to>
    <cdr:sp macro="" textlink="">
      <cdr:nvSpPr>
        <cdr:cNvPr id="74753" name="Text Box 1"/>
        <cdr:cNvSpPr txBox="1">
          <a:spLocks xmlns:a="http://schemas.openxmlformats.org/drawingml/2006/main" noChangeArrowheads="1"/>
        </cdr:cNvSpPr>
      </cdr:nvSpPr>
      <cdr:spPr bwMode="auto">
        <a:xfrm xmlns:a="http://schemas.openxmlformats.org/drawingml/2006/main">
          <a:off x="3087860" y="3341131"/>
          <a:ext cx="305011" cy="1447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AU"/>
        </a:p>
      </cdr:txBody>
    </cdr:sp>
  </cdr:relSizeAnchor>
  <cdr:relSizeAnchor xmlns:cdr="http://schemas.openxmlformats.org/drawingml/2006/chartDrawing">
    <cdr:from>
      <cdr:x>0.64107</cdr:x>
      <cdr:y>0.9431</cdr:y>
    </cdr:from>
    <cdr:to>
      <cdr:x>0.70196</cdr:x>
      <cdr:y>0.995</cdr:y>
    </cdr:to>
    <cdr:sp macro="" textlink="">
      <cdr:nvSpPr>
        <cdr:cNvPr id="2" name="Text Box 1"/>
        <cdr:cNvSpPr txBox="1">
          <a:spLocks xmlns:a="http://schemas.openxmlformats.org/drawingml/2006/main" noChangeArrowheads="1"/>
        </cdr:cNvSpPr>
      </cdr:nvSpPr>
      <cdr:spPr bwMode="auto">
        <a:xfrm xmlns:a="http://schemas.openxmlformats.org/drawingml/2006/main">
          <a:off x="3087860" y="3341131"/>
          <a:ext cx="305011" cy="1447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AU"/>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2705478</xdr:colOff>
      <xdr:row>3</xdr:row>
      <xdr:rowOff>76290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478" cy="6477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209550</xdr:colOff>
      <xdr:row>3</xdr:row>
      <xdr:rowOff>76199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twoCellAnchor>
    <xdr:from>
      <xdr:col>0</xdr:col>
      <xdr:colOff>228601</xdr:colOff>
      <xdr:row>4</xdr:row>
      <xdr:rowOff>85532</xdr:rowOff>
    </xdr:from>
    <xdr:to>
      <xdr:col>4</xdr:col>
      <xdr:colOff>171451</xdr:colOff>
      <xdr:row>26</xdr:row>
      <xdr:rowOff>28256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347985</xdr:colOff>
      <xdr:row>24</xdr:row>
      <xdr:rowOff>77266</xdr:rowOff>
    </xdr:from>
    <xdr:to>
      <xdr:col>1</xdr:col>
      <xdr:colOff>1463540</xdr:colOff>
      <xdr:row>25</xdr:row>
      <xdr:rowOff>96955</xdr:rowOff>
    </xdr:to>
    <xdr:sp macro="" textlink="">
      <xdr:nvSpPr>
        <xdr:cNvPr id="4" name="TextBox 3"/>
        <xdr:cNvSpPr txBox="1"/>
      </xdr:nvSpPr>
      <xdr:spPr>
        <a:xfrm>
          <a:off x="347985" y="5411266"/>
          <a:ext cx="1725155" cy="21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t>Source: DMP</a:t>
          </a:r>
          <a:r>
            <a:rPr lang="en-AU" sz="800" b="1" baseline="0"/>
            <a:t> and ABS</a:t>
          </a:r>
          <a:endParaRPr lang="en-AU" sz="800" b="1"/>
        </a:p>
      </xdr:txBody>
    </xdr:sp>
    <xdr:clientData/>
  </xdr:twoCellAnchor>
  <xdr:twoCellAnchor>
    <xdr:from>
      <xdr:col>4</xdr:col>
      <xdr:colOff>419102</xdr:colOff>
      <xdr:row>4</xdr:row>
      <xdr:rowOff>76199</xdr:rowOff>
    </xdr:from>
    <xdr:to>
      <xdr:col>8</xdr:col>
      <xdr:colOff>542925</xdr:colOff>
      <xdr:row>26</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47625</xdr:colOff>
      <xdr:row>24</xdr:row>
      <xdr:rowOff>66675</xdr:rowOff>
    </xdr:from>
    <xdr:to>
      <xdr:col>7</xdr:col>
      <xdr:colOff>553580</xdr:colOff>
      <xdr:row>25</xdr:row>
      <xdr:rowOff>86364</xdr:rowOff>
    </xdr:to>
    <xdr:sp macro="" textlink="">
      <xdr:nvSpPr>
        <xdr:cNvPr id="6" name="TextBox 5"/>
        <xdr:cNvSpPr txBox="1"/>
      </xdr:nvSpPr>
      <xdr:spPr>
        <a:xfrm>
          <a:off x="5934075" y="5400675"/>
          <a:ext cx="3382505" cy="21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t>Source: DMP</a:t>
          </a:r>
          <a:r>
            <a:rPr lang="en-AU" sz="800" b="1" baseline="0"/>
            <a:t> and ABS</a:t>
          </a:r>
          <a:endParaRPr lang="en-AU" sz="800" b="1"/>
        </a:p>
      </xdr:txBody>
    </xdr:sp>
    <xdr:clientData/>
  </xdr:twoCellAnchor>
  <xdr:twoCellAnchor>
    <xdr:from>
      <xdr:col>0</xdr:col>
      <xdr:colOff>180975</xdr:colOff>
      <xdr:row>37</xdr:row>
      <xdr:rowOff>95249</xdr:rowOff>
    </xdr:from>
    <xdr:to>
      <xdr:col>4</xdr:col>
      <xdr:colOff>104776</xdr:colOff>
      <xdr:row>59</xdr:row>
      <xdr:rowOff>28574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247650</xdr:colOff>
      <xdr:row>57</xdr:row>
      <xdr:rowOff>123825</xdr:rowOff>
    </xdr:from>
    <xdr:to>
      <xdr:col>1</xdr:col>
      <xdr:colOff>1363205</xdr:colOff>
      <xdr:row>58</xdr:row>
      <xdr:rowOff>143514</xdr:rowOff>
    </xdr:to>
    <xdr:sp macro="" textlink="">
      <xdr:nvSpPr>
        <xdr:cNvPr id="8" name="TextBox 7"/>
        <xdr:cNvSpPr txBox="1"/>
      </xdr:nvSpPr>
      <xdr:spPr>
        <a:xfrm>
          <a:off x="247650" y="12163425"/>
          <a:ext cx="1725155" cy="21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t>Source: </a:t>
          </a:r>
          <a:r>
            <a:rPr lang="en-AU" sz="800" b="1" baseline="0"/>
            <a:t>ABS</a:t>
          </a:r>
          <a:endParaRPr lang="en-AU" sz="800" b="1"/>
        </a:p>
      </xdr:txBody>
    </xdr:sp>
    <xdr:clientData/>
  </xdr:twoCellAnchor>
  <xdr:twoCellAnchor>
    <xdr:from>
      <xdr:col>4</xdr:col>
      <xdr:colOff>485775</xdr:colOff>
      <xdr:row>37</xdr:row>
      <xdr:rowOff>76200</xdr:rowOff>
    </xdr:from>
    <xdr:to>
      <xdr:col>8</xdr:col>
      <xdr:colOff>571500</xdr:colOff>
      <xdr:row>59</xdr:row>
      <xdr:rowOff>57150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552450</xdr:colOff>
      <xdr:row>57</xdr:row>
      <xdr:rowOff>152400</xdr:rowOff>
    </xdr:from>
    <xdr:to>
      <xdr:col>6</xdr:col>
      <xdr:colOff>363080</xdr:colOff>
      <xdr:row>58</xdr:row>
      <xdr:rowOff>172089</xdr:rowOff>
    </xdr:to>
    <xdr:sp macro="" textlink="">
      <xdr:nvSpPr>
        <xdr:cNvPr id="10" name="TextBox 9"/>
        <xdr:cNvSpPr txBox="1"/>
      </xdr:nvSpPr>
      <xdr:spPr>
        <a:xfrm>
          <a:off x="5829300" y="12192000"/>
          <a:ext cx="1725155" cy="21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t>Source: </a:t>
          </a:r>
          <a:r>
            <a:rPr lang="en-AU" sz="800" b="1" baseline="0"/>
            <a:t>ABS</a:t>
          </a:r>
          <a:endParaRPr lang="en-AU" sz="800" b="1"/>
        </a:p>
      </xdr:txBody>
    </xdr:sp>
    <xdr:clientData/>
  </xdr:twoCellAnchor>
  <xdr:twoCellAnchor>
    <xdr:from>
      <xdr:col>7</xdr:col>
      <xdr:colOff>847726</xdr:colOff>
      <xdr:row>55</xdr:row>
      <xdr:rowOff>114300</xdr:rowOff>
    </xdr:from>
    <xdr:to>
      <xdr:col>8</xdr:col>
      <xdr:colOff>523875</xdr:colOff>
      <xdr:row>59</xdr:row>
      <xdr:rowOff>0</xdr:rowOff>
    </xdr:to>
    <xdr:sp macro="" textlink="">
      <xdr:nvSpPr>
        <xdr:cNvPr id="11" name="TextBox 10"/>
        <xdr:cNvSpPr txBox="1"/>
      </xdr:nvSpPr>
      <xdr:spPr>
        <a:xfrm>
          <a:off x="9610726" y="11772900"/>
          <a:ext cx="1171574"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700" b="0">
              <a:solidFill>
                <a:srgbClr val="C00000"/>
              </a:solidFill>
            </a:rPr>
            <a:t>Note: "Total Other" refers to exports where state of origin is not released by ABS or where merchandise is re-exported</a:t>
          </a:r>
          <a:r>
            <a:rPr lang="en-AU" sz="700" b="1">
              <a:solidFill>
                <a:srgbClr val="C00000"/>
              </a:solidFill>
            </a:rPr>
            <a:t>.</a:t>
          </a:r>
        </a:p>
      </xdr:txBody>
    </xdr:sp>
    <xdr:clientData/>
  </xdr:twoCellAnchor>
  <xdr:twoCellAnchor>
    <xdr:from>
      <xdr:col>1</xdr:col>
      <xdr:colOff>971550</xdr:colOff>
      <xdr:row>24</xdr:row>
      <xdr:rowOff>28575</xdr:rowOff>
    </xdr:from>
    <xdr:to>
      <xdr:col>4</xdr:col>
      <xdr:colOff>171450</xdr:colOff>
      <xdr:row>25</xdr:row>
      <xdr:rowOff>152400</xdr:rowOff>
    </xdr:to>
    <xdr:sp macro="" textlink="">
      <xdr:nvSpPr>
        <xdr:cNvPr id="12" name="TextBox 11"/>
        <xdr:cNvSpPr txBox="1"/>
      </xdr:nvSpPr>
      <xdr:spPr>
        <a:xfrm>
          <a:off x="1581150" y="5362575"/>
          <a:ext cx="3867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700" b="0">
              <a:solidFill>
                <a:srgbClr val="C00000"/>
              </a:solidFill>
            </a:rPr>
            <a:t>Note: Minerals and Petroleum includes  $5.53 billion worth of gold and $332</a:t>
          </a:r>
          <a:r>
            <a:rPr lang="en-AU" sz="700" b="0" baseline="0">
              <a:solidFill>
                <a:srgbClr val="C00000"/>
              </a:solidFill>
            </a:rPr>
            <a:t>.1 million worth of Mineral Sands refined or processed in WA but produced in other States/Territories/overseas. </a:t>
          </a:r>
          <a:endParaRPr lang="en-AU" sz="700" b="0">
            <a:solidFill>
              <a:srgbClr val="C00000"/>
            </a:solidFill>
          </a:endParaRPr>
        </a:p>
      </xdr:txBody>
    </xdr:sp>
    <xdr:clientData/>
  </xdr:twoCellAnchor>
  <xdr:twoCellAnchor>
    <xdr:from>
      <xdr:col>5</xdr:col>
      <xdr:colOff>723900</xdr:colOff>
      <xdr:row>5</xdr:row>
      <xdr:rowOff>66676</xdr:rowOff>
    </xdr:from>
    <xdr:to>
      <xdr:col>7</xdr:col>
      <xdr:colOff>1400175</xdr:colOff>
      <xdr:row>9</xdr:row>
      <xdr:rowOff>95251</xdr:rowOff>
    </xdr:to>
    <xdr:grpSp>
      <xdr:nvGrpSpPr>
        <xdr:cNvPr id="15" name="Group 14"/>
        <xdr:cNvGrpSpPr/>
      </xdr:nvGrpSpPr>
      <xdr:grpSpPr>
        <a:xfrm>
          <a:off x="7038975" y="1019176"/>
          <a:ext cx="4038600" cy="790575"/>
          <a:chOff x="13868400" y="2152651"/>
          <a:chExt cx="4038600" cy="790575"/>
        </a:xfrm>
      </xdr:grpSpPr>
      <xdr:sp macro="" textlink="$N$2">
        <xdr:nvSpPr>
          <xdr:cNvPr id="13" name="Rectangle 12"/>
          <xdr:cNvSpPr/>
        </xdr:nvSpPr>
        <xdr:spPr>
          <a:xfrm>
            <a:off x="13868400" y="2152651"/>
            <a:ext cx="4029075" cy="704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EF67029-EC94-4939-8E60-65B4690715F8}" type="TxLink">
              <a:rPr lang="en-US" sz="1800" b="1" i="0" u="none" strike="noStrike">
                <a:solidFill>
                  <a:srgbClr val="000000"/>
                </a:solidFill>
                <a:latin typeface="Calibri"/>
              </a:rPr>
              <a:pPr algn="ctr"/>
              <a:t>Western Australian
Mineral and petroleum exports 2016</a:t>
            </a:fld>
            <a:endParaRPr lang="en-AU" sz="1800" b="1"/>
          </a:p>
        </xdr:txBody>
      </xdr:sp>
      <xdr:sp macro="" textlink="$O$2">
        <xdr:nvSpPr>
          <xdr:cNvPr id="14" name="Rectangle 13"/>
          <xdr:cNvSpPr/>
        </xdr:nvSpPr>
        <xdr:spPr>
          <a:xfrm>
            <a:off x="13877925" y="2686052"/>
            <a:ext cx="4029075" cy="257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74589A59-B2D1-4A82-9E8C-4B15F6EC401E}" type="TxLink">
              <a:rPr lang="en-US" sz="1100" b="1" i="0" u="none" strike="noStrike">
                <a:solidFill>
                  <a:srgbClr val="000000"/>
                </a:solidFill>
                <a:latin typeface="Calibri"/>
              </a:rPr>
              <a:pPr algn="ctr"/>
              <a:t>Total: $95.30 billion</a:t>
            </a:fld>
            <a:endParaRPr lang="en-AU" sz="1100" b="1"/>
          </a:p>
        </xdr:txBody>
      </xdr:sp>
    </xdr:grpSp>
    <xdr:clientData/>
  </xdr:twoCellAnchor>
  <xdr:twoCellAnchor>
    <xdr:from>
      <xdr:col>1</xdr:col>
      <xdr:colOff>342900</xdr:colOff>
      <xdr:row>5</xdr:row>
      <xdr:rowOff>66676</xdr:rowOff>
    </xdr:from>
    <xdr:to>
      <xdr:col>3</xdr:col>
      <xdr:colOff>542925</xdr:colOff>
      <xdr:row>9</xdr:row>
      <xdr:rowOff>152401</xdr:rowOff>
    </xdr:to>
    <xdr:grpSp>
      <xdr:nvGrpSpPr>
        <xdr:cNvPr id="16" name="Group 15"/>
        <xdr:cNvGrpSpPr/>
      </xdr:nvGrpSpPr>
      <xdr:grpSpPr>
        <a:xfrm>
          <a:off x="952500" y="1019176"/>
          <a:ext cx="4029075" cy="847725"/>
          <a:chOff x="13877925" y="2095501"/>
          <a:chExt cx="4029075" cy="847725"/>
        </a:xfrm>
      </xdr:grpSpPr>
      <xdr:sp macro="" textlink="$N$1">
        <xdr:nvSpPr>
          <xdr:cNvPr id="17" name="Rectangle 16"/>
          <xdr:cNvSpPr/>
        </xdr:nvSpPr>
        <xdr:spPr>
          <a:xfrm>
            <a:off x="13877925" y="2095501"/>
            <a:ext cx="4029075" cy="704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EEC2C72-E46E-444E-93C4-DAC2C7042BA2}" type="TxLink">
              <a:rPr lang="en-US" sz="1800" b="1" i="0" u="none" strike="noStrike">
                <a:solidFill>
                  <a:srgbClr val="000000"/>
                </a:solidFill>
                <a:latin typeface="Calibri"/>
              </a:rPr>
              <a:pPr algn="ctr"/>
              <a:t>Western Australian Merchandise Exports 2016</a:t>
            </a:fld>
            <a:endParaRPr lang="en-AU" sz="1800" b="1"/>
          </a:p>
        </xdr:txBody>
      </xdr:sp>
      <xdr:sp macro="" textlink="$O$1">
        <xdr:nvSpPr>
          <xdr:cNvPr id="18" name="Rectangle 17"/>
          <xdr:cNvSpPr/>
        </xdr:nvSpPr>
        <xdr:spPr>
          <a:xfrm>
            <a:off x="13877925" y="2686052"/>
            <a:ext cx="4029075" cy="257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7CC43950-31E2-4790-B9DC-8E8106DCB0C4}" type="TxLink">
              <a:rPr lang="en-US" sz="1100" b="1" i="0" u="none" strike="noStrike">
                <a:solidFill>
                  <a:srgbClr val="000000"/>
                </a:solidFill>
                <a:latin typeface="Calibri"/>
              </a:rPr>
              <a:pPr algn="ctr"/>
              <a:t>Total: $105.89 billion</a:t>
            </a:fld>
            <a:endParaRPr lang="en-AU" sz="1100" b="1"/>
          </a:p>
        </xdr:txBody>
      </xdr:sp>
    </xdr:grpSp>
    <xdr:clientData/>
  </xdr:twoCellAnchor>
  <xdr:twoCellAnchor>
    <xdr:from>
      <xdr:col>1</xdr:col>
      <xdr:colOff>523875</xdr:colOff>
      <xdr:row>38</xdr:row>
      <xdr:rowOff>38100</xdr:rowOff>
    </xdr:from>
    <xdr:to>
      <xdr:col>3</xdr:col>
      <xdr:colOff>723900</xdr:colOff>
      <xdr:row>42</xdr:row>
      <xdr:rowOff>123825</xdr:rowOff>
    </xdr:to>
    <xdr:grpSp>
      <xdr:nvGrpSpPr>
        <xdr:cNvPr id="19" name="Group 18"/>
        <xdr:cNvGrpSpPr/>
      </xdr:nvGrpSpPr>
      <xdr:grpSpPr>
        <a:xfrm>
          <a:off x="1133475" y="7505700"/>
          <a:ext cx="4029075" cy="847725"/>
          <a:chOff x="13877925" y="2095501"/>
          <a:chExt cx="4029075" cy="847725"/>
        </a:xfrm>
      </xdr:grpSpPr>
      <xdr:sp macro="" textlink="$N$3">
        <xdr:nvSpPr>
          <xdr:cNvPr id="20" name="Rectangle 19"/>
          <xdr:cNvSpPr/>
        </xdr:nvSpPr>
        <xdr:spPr>
          <a:xfrm>
            <a:off x="13877925" y="2095501"/>
            <a:ext cx="4029075" cy="704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F9CE88A-DB44-4406-9025-7AE5533D0C23}" type="TxLink">
              <a:rPr lang="en-US" sz="1600" b="1" i="0" u="none" strike="noStrike">
                <a:solidFill>
                  <a:srgbClr val="000000"/>
                </a:solidFill>
                <a:latin typeface="Calibri"/>
              </a:rPr>
              <a:pPr algn="ctr"/>
              <a:t>Western Australian merchandise exports 
by country 2016</a:t>
            </a:fld>
            <a:endParaRPr lang="en-AU" sz="2800" b="1"/>
          </a:p>
        </xdr:txBody>
      </xdr:sp>
      <xdr:sp macro="" textlink="$O$3">
        <xdr:nvSpPr>
          <xdr:cNvPr id="21" name="Rectangle 20"/>
          <xdr:cNvSpPr/>
        </xdr:nvSpPr>
        <xdr:spPr>
          <a:xfrm>
            <a:off x="13877925" y="2686052"/>
            <a:ext cx="4029075" cy="257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6B46FAE4-B198-4905-9EC2-9542DA3BAAE7}" type="TxLink">
              <a:rPr lang="en-US" sz="1100" b="1" i="0" u="none" strike="noStrike">
                <a:solidFill>
                  <a:srgbClr val="000000"/>
                </a:solidFill>
                <a:latin typeface="Calibri"/>
              </a:rPr>
              <a:pPr algn="ctr"/>
              <a:t>Total: $105.89 billion</a:t>
            </a:fld>
            <a:endParaRPr lang="en-AU" sz="1100" b="1"/>
          </a:p>
        </xdr:txBody>
      </xdr:sp>
    </xdr:grpSp>
    <xdr:clientData/>
  </xdr:twoCellAnchor>
  <xdr:twoCellAnchor>
    <xdr:from>
      <xdr:col>5</xdr:col>
      <xdr:colOff>790575</xdr:colOff>
      <xdr:row>38</xdr:row>
      <xdr:rowOff>0</xdr:rowOff>
    </xdr:from>
    <xdr:to>
      <xdr:col>7</xdr:col>
      <xdr:colOff>1466850</xdr:colOff>
      <xdr:row>41</xdr:row>
      <xdr:rowOff>19050</xdr:rowOff>
    </xdr:to>
    <xdr:grpSp>
      <xdr:nvGrpSpPr>
        <xdr:cNvPr id="22" name="Group 21"/>
        <xdr:cNvGrpSpPr/>
      </xdr:nvGrpSpPr>
      <xdr:grpSpPr>
        <a:xfrm>
          <a:off x="7105650" y="7467600"/>
          <a:ext cx="4038600" cy="590550"/>
          <a:chOff x="13868400" y="2095501"/>
          <a:chExt cx="4038600" cy="590550"/>
        </a:xfrm>
      </xdr:grpSpPr>
      <xdr:sp macro="" textlink="$N$4">
        <xdr:nvSpPr>
          <xdr:cNvPr id="23" name="Rectangle 22"/>
          <xdr:cNvSpPr/>
        </xdr:nvSpPr>
        <xdr:spPr>
          <a:xfrm>
            <a:off x="13877925" y="2095501"/>
            <a:ext cx="402907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9FEDD67-8FF5-48A8-BA65-555311BCAE8B}" type="TxLink">
              <a:rPr lang="en-US" sz="1800" b="1" i="0" u="none" strike="noStrike">
                <a:solidFill>
                  <a:srgbClr val="000000"/>
                </a:solidFill>
                <a:latin typeface="Calibri"/>
              </a:rPr>
              <a:pPr algn="ctr"/>
              <a:t>Australian merchandise exports 2016</a:t>
            </a:fld>
            <a:endParaRPr lang="en-AU" sz="4400" b="1"/>
          </a:p>
        </xdr:txBody>
      </xdr:sp>
      <xdr:sp macro="" textlink="$O$4">
        <xdr:nvSpPr>
          <xdr:cNvPr id="24" name="Rectangle 23"/>
          <xdr:cNvSpPr/>
        </xdr:nvSpPr>
        <xdr:spPr>
          <a:xfrm>
            <a:off x="13868400" y="2428877"/>
            <a:ext cx="4029075" cy="257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2C9D73CA-5FBD-4BB9-993A-07CFB9381A6A}" type="TxLink">
              <a:rPr lang="en-US" sz="1100" b="1" i="0" u="none" strike="noStrike">
                <a:solidFill>
                  <a:srgbClr val="000000"/>
                </a:solidFill>
                <a:latin typeface="Calibri"/>
              </a:rPr>
              <a:pPr algn="ctr"/>
              <a:t>Total: $255.2 billion</a:t>
            </a:fld>
            <a:endParaRPr lang="en-AU" sz="1100" b="1"/>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523875</xdr:colOff>
      <xdr:row>4</xdr:row>
      <xdr:rowOff>61912</xdr:rowOff>
    </xdr:from>
    <xdr:to>
      <xdr:col>13</xdr:col>
      <xdr:colOff>457200</xdr:colOff>
      <xdr:row>21</xdr:row>
      <xdr:rowOff>23812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952500</xdr:colOff>
      <xdr:row>3</xdr:row>
      <xdr:rowOff>76199</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933828</xdr:colOff>
      <xdr:row>3</xdr:row>
      <xdr:rowOff>76290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478" cy="647790"/>
        </a:xfrm>
        <a:prstGeom prst="rect">
          <a:avLst/>
        </a:prstGeom>
      </xdr:spPr>
    </xdr:pic>
    <xdr:clientData/>
  </xdr:twoCellAnchor>
  <xdr:twoCellAnchor>
    <xdr:from>
      <xdr:col>8</xdr:col>
      <xdr:colOff>9525</xdr:colOff>
      <xdr:row>17</xdr:row>
      <xdr:rowOff>180975</xdr:rowOff>
    </xdr:from>
    <xdr:to>
      <xdr:col>12</xdr:col>
      <xdr:colOff>1184275</xdr:colOff>
      <xdr:row>36</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18</xdr:row>
      <xdr:rowOff>0</xdr:rowOff>
    </xdr:from>
    <xdr:to>
      <xdr:col>18</xdr:col>
      <xdr:colOff>1127125</xdr:colOff>
      <xdr:row>36</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688522</xdr:colOff>
      <xdr:row>3</xdr:row>
      <xdr:rowOff>76199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twoCellAnchor>
    <xdr:from>
      <xdr:col>8</xdr:col>
      <xdr:colOff>9525</xdr:colOff>
      <xdr:row>17</xdr:row>
      <xdr:rowOff>180975</xdr:rowOff>
    </xdr:from>
    <xdr:to>
      <xdr:col>12</xdr:col>
      <xdr:colOff>1184275</xdr:colOff>
      <xdr:row>36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18</xdr:row>
      <xdr:rowOff>0</xdr:rowOff>
    </xdr:from>
    <xdr:to>
      <xdr:col>18</xdr:col>
      <xdr:colOff>1127125</xdr:colOff>
      <xdr:row>36</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257553</xdr:colOff>
      <xdr:row>3</xdr:row>
      <xdr:rowOff>76290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478" cy="647790"/>
        </a:xfrm>
        <a:prstGeom prst="rect">
          <a:avLst/>
        </a:prstGeom>
      </xdr:spPr>
    </xdr:pic>
    <xdr:clientData/>
  </xdr:twoCellAnchor>
  <xdr:twoCellAnchor>
    <xdr:from>
      <xdr:col>13</xdr:col>
      <xdr:colOff>9525</xdr:colOff>
      <xdr:row>19</xdr:row>
      <xdr:rowOff>180974</xdr:rowOff>
    </xdr:from>
    <xdr:to>
      <xdr:col>17</xdr:col>
      <xdr:colOff>1184275</xdr:colOff>
      <xdr:row>38</xdr:row>
      <xdr:rowOff>95249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19</xdr:row>
      <xdr:rowOff>95250</xdr:rowOff>
    </xdr:from>
    <xdr:to>
      <xdr:col>23</xdr:col>
      <xdr:colOff>1127125</xdr:colOff>
      <xdr:row>38</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41</xdr:row>
      <xdr:rowOff>0</xdr:rowOff>
    </xdr:from>
    <xdr:to>
      <xdr:col>23</xdr:col>
      <xdr:colOff>1162050</xdr:colOff>
      <xdr:row>63</xdr:row>
      <xdr:rowOff>153521</xdr:rowOff>
    </xdr:to>
    <xdr:grpSp>
      <xdr:nvGrpSpPr>
        <xdr:cNvPr id="5" name="Group 4"/>
        <xdr:cNvGrpSpPr/>
      </xdr:nvGrpSpPr>
      <xdr:grpSpPr>
        <a:xfrm>
          <a:off x="5495925" y="8410575"/>
          <a:ext cx="9791700" cy="4344521"/>
          <a:chOff x="20153778" y="13916025"/>
          <a:chExt cx="11163302" cy="4287371"/>
        </a:xfrm>
      </xdr:grpSpPr>
      <xdr:graphicFrame macro="">
        <xdr:nvGraphicFramePr>
          <xdr:cNvPr id="6" name="Chart 5"/>
          <xdr:cNvGraphicFramePr/>
        </xdr:nvGraphicFramePr>
        <xdr:xfrm>
          <a:off x="20153778" y="13916025"/>
          <a:ext cx="11163302" cy="4287371"/>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7" name="Group 6"/>
          <xdr:cNvGrpSpPr/>
        </xdr:nvGrpSpPr>
        <xdr:grpSpPr>
          <a:xfrm>
            <a:off x="20154900" y="17992726"/>
            <a:ext cx="6934200" cy="209550"/>
            <a:chOff x="20154900" y="17992726"/>
            <a:chExt cx="6934200" cy="209550"/>
          </a:xfrm>
        </xdr:grpSpPr>
        <xdr:sp macro="" textlink="">
          <xdr:nvSpPr>
            <xdr:cNvPr id="8" name="Rectangle 7"/>
            <xdr:cNvSpPr/>
          </xdr:nvSpPr>
          <xdr:spPr>
            <a:xfrm>
              <a:off x="24022050" y="18030826"/>
              <a:ext cx="30670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600" i="1">
                  <a:solidFill>
                    <a:schemeClr val="bg1">
                      <a:lumMod val="50000"/>
                    </a:schemeClr>
                  </a:solidFill>
                </a:rPr>
                <a:t>Red columns represent major discoveries, especially where exploration was triggered</a:t>
              </a:r>
            </a:p>
          </xdr:txBody>
        </xdr:sp>
        <xdr:sp macro="" textlink="">
          <xdr:nvSpPr>
            <xdr:cNvPr id="9" name="Rectangle 8"/>
            <xdr:cNvSpPr/>
          </xdr:nvSpPr>
          <xdr:spPr>
            <a:xfrm>
              <a:off x="20154900" y="17992726"/>
              <a:ext cx="2857500"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800" b="1" i="0">
                  <a:solidFill>
                    <a:sysClr val="windowText" lastClr="000000"/>
                  </a:solidFill>
                </a:rPr>
                <a:t>Source: ABS</a:t>
              </a:r>
            </a:p>
          </xdr:txBody>
        </xdr:sp>
      </xdr:grp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781428</xdr:colOff>
      <xdr:row>3</xdr:row>
      <xdr:rowOff>76290</xdr:rowOff>
    </xdr:to>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478" cy="647790"/>
        </a:xfrm>
        <a:prstGeom prst="rect">
          <a:avLst/>
        </a:prstGeom>
      </xdr:spPr>
    </xdr:pic>
    <xdr:clientData/>
  </xdr:twoCellAnchor>
  <xdr:twoCellAnchor>
    <xdr:from>
      <xdr:col>14</xdr:col>
      <xdr:colOff>418258</xdr:colOff>
      <xdr:row>1</xdr:row>
      <xdr:rowOff>0</xdr:rowOff>
    </xdr:from>
    <xdr:to>
      <xdr:col>28</xdr:col>
      <xdr:colOff>328245</xdr:colOff>
      <xdr:row>31</xdr:row>
      <xdr:rowOff>163488</xdr:rowOff>
    </xdr:to>
    <xdr:grpSp>
      <xdr:nvGrpSpPr>
        <xdr:cNvPr id="13" name="Group 12"/>
        <xdr:cNvGrpSpPr/>
      </xdr:nvGrpSpPr>
      <xdr:grpSpPr>
        <a:xfrm>
          <a:off x="9047908" y="190500"/>
          <a:ext cx="7777637" cy="6116613"/>
          <a:chOff x="9047908" y="190500"/>
          <a:chExt cx="7777637" cy="6116613"/>
        </a:xfrm>
      </xdr:grpSpPr>
      <xdr:graphicFrame macro="">
        <xdr:nvGraphicFramePr>
          <xdr:cNvPr id="3" name="Chart 2"/>
          <xdr:cNvGraphicFramePr>
            <a:graphicFrameLocks/>
          </xdr:cNvGraphicFramePr>
        </xdr:nvGraphicFramePr>
        <xdr:xfrm>
          <a:off x="9049252" y="190501"/>
          <a:ext cx="3887023" cy="306066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4" name="Chart 3"/>
          <xdr:cNvGraphicFramePr>
            <a:graphicFrameLocks/>
          </xdr:cNvGraphicFramePr>
        </xdr:nvGraphicFramePr>
        <xdr:xfrm>
          <a:off x="12935664" y="190500"/>
          <a:ext cx="3881770" cy="306118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5" name="Chart 4"/>
          <xdr:cNvGraphicFramePr>
            <a:graphicFrameLocks/>
          </xdr:cNvGraphicFramePr>
        </xdr:nvGraphicFramePr>
        <xdr:xfrm>
          <a:off x="9047908" y="3249379"/>
          <a:ext cx="3891832" cy="305773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6" name="Chart 5"/>
          <xdr:cNvGraphicFramePr>
            <a:graphicFrameLocks/>
          </xdr:cNvGraphicFramePr>
        </xdr:nvGraphicFramePr>
        <xdr:xfrm>
          <a:off x="12943272" y="3247438"/>
          <a:ext cx="3882273" cy="3057734"/>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9" name="TextBox 8"/>
          <xdr:cNvSpPr txBox="1"/>
        </xdr:nvSpPr>
        <xdr:spPr>
          <a:xfrm>
            <a:off x="10544175" y="1600200"/>
            <a:ext cx="9144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900" b="1">
                <a:latin typeface="Calibri (Body)"/>
              </a:rPr>
              <a:t>Total WA</a:t>
            </a:r>
            <a:r>
              <a:rPr lang="en-AU" sz="900" b="1" baseline="0">
                <a:latin typeface="Calibri (Body)"/>
              </a:rPr>
              <a:t> </a:t>
            </a:r>
          </a:p>
          <a:p>
            <a:pPr algn="ctr"/>
            <a:r>
              <a:rPr lang="en-AU" sz="900" b="1" baseline="0">
                <a:latin typeface="Calibri (Body)"/>
              </a:rPr>
              <a:t>Spend:</a:t>
            </a:r>
          </a:p>
          <a:p>
            <a:pPr algn="ctr"/>
            <a:r>
              <a:rPr lang="en-AU" sz="900" b="1" baseline="0">
                <a:latin typeface="Calibri (Body)"/>
              </a:rPr>
              <a:t>$278.6 Million</a:t>
            </a:r>
            <a:endParaRPr lang="en-AU" sz="900" b="1">
              <a:latin typeface="Calibri (Body)"/>
            </a:endParaRPr>
          </a:p>
        </xdr:txBody>
      </xdr:sp>
      <xdr:sp macro="" textlink="">
        <xdr:nvSpPr>
          <xdr:cNvPr id="10" name="TextBox 9"/>
          <xdr:cNvSpPr txBox="1"/>
        </xdr:nvSpPr>
        <xdr:spPr>
          <a:xfrm>
            <a:off x="14401800" y="1647825"/>
            <a:ext cx="9144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900" b="1">
                <a:latin typeface="Calibri (Body)"/>
              </a:rPr>
              <a:t>Total WA</a:t>
            </a:r>
            <a:r>
              <a:rPr lang="en-AU" sz="900" b="1" baseline="0">
                <a:latin typeface="Calibri (Body)"/>
              </a:rPr>
              <a:t> </a:t>
            </a:r>
          </a:p>
          <a:p>
            <a:pPr algn="ctr"/>
            <a:r>
              <a:rPr lang="en-AU" sz="900" b="1" baseline="0">
                <a:latin typeface="Calibri (Body)"/>
              </a:rPr>
              <a:t>Spend:</a:t>
            </a:r>
          </a:p>
          <a:p>
            <a:pPr algn="ctr"/>
            <a:r>
              <a:rPr lang="en-AU" sz="900" b="1" baseline="0">
                <a:latin typeface="Calibri (Body)"/>
              </a:rPr>
              <a:t>$57.8 Million</a:t>
            </a:r>
            <a:endParaRPr lang="en-AU" sz="900" b="1">
              <a:latin typeface="Calibri (Body)"/>
            </a:endParaRPr>
          </a:p>
        </xdr:txBody>
      </xdr:sp>
      <xdr:sp macro="" textlink="">
        <xdr:nvSpPr>
          <xdr:cNvPr id="11" name="TextBox 10"/>
          <xdr:cNvSpPr txBox="1"/>
        </xdr:nvSpPr>
        <xdr:spPr>
          <a:xfrm>
            <a:off x="10544175" y="4724400"/>
            <a:ext cx="9144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900" b="1">
                <a:latin typeface="Calibri (Body)"/>
              </a:rPr>
              <a:t>Total WA</a:t>
            </a:r>
            <a:r>
              <a:rPr lang="en-AU" sz="900" b="1" baseline="0">
                <a:latin typeface="Calibri (Body)"/>
              </a:rPr>
              <a:t> </a:t>
            </a:r>
          </a:p>
          <a:p>
            <a:pPr algn="ctr"/>
            <a:r>
              <a:rPr lang="en-AU" sz="900" b="1" baseline="0">
                <a:latin typeface="Calibri (Body)"/>
              </a:rPr>
              <a:t>Spend:</a:t>
            </a:r>
          </a:p>
          <a:p>
            <a:pPr algn="ctr"/>
            <a:r>
              <a:rPr lang="en-AU" sz="900" b="1" baseline="0">
                <a:latin typeface="Calibri (Body)"/>
              </a:rPr>
              <a:t>$46.9 Million</a:t>
            </a:r>
            <a:endParaRPr lang="en-AU" sz="900" b="1">
              <a:latin typeface="Calibri (Body)"/>
            </a:endParaRPr>
          </a:p>
        </xdr:txBody>
      </xdr:sp>
      <xdr:sp macro="" textlink="">
        <xdr:nvSpPr>
          <xdr:cNvPr id="12" name="TextBox 11"/>
          <xdr:cNvSpPr txBox="1"/>
        </xdr:nvSpPr>
        <xdr:spPr>
          <a:xfrm>
            <a:off x="14420850" y="4667250"/>
            <a:ext cx="9144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900" b="1">
                <a:latin typeface="Calibri (Body)"/>
              </a:rPr>
              <a:t>Total WA</a:t>
            </a:r>
            <a:r>
              <a:rPr lang="en-AU" sz="900" b="1" baseline="0">
                <a:latin typeface="Calibri (Body)"/>
              </a:rPr>
              <a:t> </a:t>
            </a:r>
          </a:p>
          <a:p>
            <a:pPr algn="ctr"/>
            <a:r>
              <a:rPr lang="en-AU" sz="900" b="1" baseline="0">
                <a:latin typeface="Calibri (Body)"/>
              </a:rPr>
              <a:t>Spend:</a:t>
            </a:r>
          </a:p>
          <a:p>
            <a:pPr algn="ctr"/>
            <a:r>
              <a:rPr lang="en-AU" sz="900" b="1" baseline="0">
                <a:latin typeface="Calibri (Body)"/>
              </a:rPr>
              <a:t>$445.9 Million</a:t>
            </a:r>
            <a:endParaRPr lang="en-AU" sz="900" b="1">
              <a:latin typeface="Calibri (Body)"/>
            </a:endParaRPr>
          </a:p>
        </xdr:txBody>
      </xdr:sp>
    </xdr:grpSp>
    <xdr:clientData/>
  </xdr:twoCellAnchor>
  <xdr:twoCellAnchor editAs="oneCell">
    <xdr:from>
      <xdr:col>16</xdr:col>
      <xdr:colOff>0</xdr:colOff>
      <xdr:row>55</xdr:row>
      <xdr:rowOff>0</xdr:rowOff>
    </xdr:from>
    <xdr:to>
      <xdr:col>16</xdr:col>
      <xdr:colOff>9525</xdr:colOff>
      <xdr:row>55</xdr:row>
      <xdr:rowOff>9525</xdr:rowOff>
    </xdr:to>
    <xdr:pic>
      <xdr:nvPicPr>
        <xdr:cNvPr id="14" name="Picture 13"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29925" y="10715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56</xdr:row>
      <xdr:rowOff>0</xdr:rowOff>
    </xdr:from>
    <xdr:to>
      <xdr:col>14</xdr:col>
      <xdr:colOff>9525</xdr:colOff>
      <xdr:row>56</xdr:row>
      <xdr:rowOff>9525</xdr:rowOff>
    </xdr:to>
    <xdr:pic>
      <xdr:nvPicPr>
        <xdr:cNvPr id="15" name="Picture 14"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29650" y="1090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56</xdr:row>
      <xdr:rowOff>0</xdr:rowOff>
    </xdr:from>
    <xdr:to>
      <xdr:col>16</xdr:col>
      <xdr:colOff>9525</xdr:colOff>
      <xdr:row>56</xdr:row>
      <xdr:rowOff>9525</xdr:rowOff>
    </xdr:to>
    <xdr:pic>
      <xdr:nvPicPr>
        <xdr:cNvPr id="16" name="Picture 15"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29925" y="1090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57</xdr:row>
      <xdr:rowOff>0</xdr:rowOff>
    </xdr:from>
    <xdr:to>
      <xdr:col>14</xdr:col>
      <xdr:colOff>9525</xdr:colOff>
      <xdr:row>57</xdr:row>
      <xdr:rowOff>9525</xdr:rowOff>
    </xdr:to>
    <xdr:pic>
      <xdr:nvPicPr>
        <xdr:cNvPr id="17" name="Picture 16"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29650" y="1109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57</xdr:row>
      <xdr:rowOff>0</xdr:rowOff>
    </xdr:from>
    <xdr:to>
      <xdr:col>16</xdr:col>
      <xdr:colOff>9525</xdr:colOff>
      <xdr:row>57</xdr:row>
      <xdr:rowOff>9525</xdr:rowOff>
    </xdr:to>
    <xdr:pic>
      <xdr:nvPicPr>
        <xdr:cNvPr id="18" name="Picture 17"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29925" y="1109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58</xdr:row>
      <xdr:rowOff>0</xdr:rowOff>
    </xdr:from>
    <xdr:to>
      <xdr:col>14</xdr:col>
      <xdr:colOff>9525</xdr:colOff>
      <xdr:row>58</xdr:row>
      <xdr:rowOff>9525</xdr:rowOff>
    </xdr:to>
    <xdr:pic>
      <xdr:nvPicPr>
        <xdr:cNvPr id="19" name="Picture 18"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29650" y="1128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58</xdr:row>
      <xdr:rowOff>0</xdr:rowOff>
    </xdr:from>
    <xdr:to>
      <xdr:col>16</xdr:col>
      <xdr:colOff>9525</xdr:colOff>
      <xdr:row>58</xdr:row>
      <xdr:rowOff>9525</xdr:rowOff>
    </xdr:to>
    <xdr:pic>
      <xdr:nvPicPr>
        <xdr:cNvPr id="20" name="Picture 19"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29925" y="1128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59</xdr:row>
      <xdr:rowOff>0</xdr:rowOff>
    </xdr:from>
    <xdr:to>
      <xdr:col>14</xdr:col>
      <xdr:colOff>9525</xdr:colOff>
      <xdr:row>59</xdr:row>
      <xdr:rowOff>9525</xdr:rowOff>
    </xdr:to>
    <xdr:pic>
      <xdr:nvPicPr>
        <xdr:cNvPr id="21" name="Picture 20"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29650" y="11477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59</xdr:row>
      <xdr:rowOff>0</xdr:rowOff>
    </xdr:from>
    <xdr:to>
      <xdr:col>16</xdr:col>
      <xdr:colOff>9525</xdr:colOff>
      <xdr:row>59</xdr:row>
      <xdr:rowOff>9525</xdr:rowOff>
    </xdr:to>
    <xdr:pic>
      <xdr:nvPicPr>
        <xdr:cNvPr id="22" name="Picture 21"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29925" y="11477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60</xdr:row>
      <xdr:rowOff>0</xdr:rowOff>
    </xdr:from>
    <xdr:to>
      <xdr:col>14</xdr:col>
      <xdr:colOff>9525</xdr:colOff>
      <xdr:row>60</xdr:row>
      <xdr:rowOff>9525</xdr:rowOff>
    </xdr:to>
    <xdr:pic>
      <xdr:nvPicPr>
        <xdr:cNvPr id="23" name="Picture 22"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29650" y="1166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60</xdr:row>
      <xdr:rowOff>0</xdr:rowOff>
    </xdr:from>
    <xdr:to>
      <xdr:col>16</xdr:col>
      <xdr:colOff>9525</xdr:colOff>
      <xdr:row>60</xdr:row>
      <xdr:rowOff>9525</xdr:rowOff>
    </xdr:to>
    <xdr:pic>
      <xdr:nvPicPr>
        <xdr:cNvPr id="24" name="Picture 23"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29925" y="1166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61</xdr:row>
      <xdr:rowOff>0</xdr:rowOff>
    </xdr:from>
    <xdr:to>
      <xdr:col>14</xdr:col>
      <xdr:colOff>9525</xdr:colOff>
      <xdr:row>61</xdr:row>
      <xdr:rowOff>9525</xdr:rowOff>
    </xdr:to>
    <xdr:pic>
      <xdr:nvPicPr>
        <xdr:cNvPr id="25" name="Picture 24"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29650" y="1185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61</xdr:row>
      <xdr:rowOff>0</xdr:rowOff>
    </xdr:from>
    <xdr:to>
      <xdr:col>16</xdr:col>
      <xdr:colOff>9525</xdr:colOff>
      <xdr:row>61</xdr:row>
      <xdr:rowOff>9525</xdr:rowOff>
    </xdr:to>
    <xdr:pic>
      <xdr:nvPicPr>
        <xdr:cNvPr id="26" name="Picture 25"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29925" y="1185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62</xdr:row>
      <xdr:rowOff>0</xdr:rowOff>
    </xdr:from>
    <xdr:to>
      <xdr:col>14</xdr:col>
      <xdr:colOff>9525</xdr:colOff>
      <xdr:row>62</xdr:row>
      <xdr:rowOff>9525</xdr:rowOff>
    </xdr:to>
    <xdr:pic>
      <xdr:nvPicPr>
        <xdr:cNvPr id="27" name="Picture 26"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29650" y="12220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62</xdr:row>
      <xdr:rowOff>0</xdr:rowOff>
    </xdr:from>
    <xdr:to>
      <xdr:col>16</xdr:col>
      <xdr:colOff>9525</xdr:colOff>
      <xdr:row>62</xdr:row>
      <xdr:rowOff>9525</xdr:rowOff>
    </xdr:to>
    <xdr:pic>
      <xdr:nvPicPr>
        <xdr:cNvPr id="28" name="Picture 27"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29925" y="12220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63</xdr:row>
      <xdr:rowOff>0</xdr:rowOff>
    </xdr:from>
    <xdr:to>
      <xdr:col>14</xdr:col>
      <xdr:colOff>9525</xdr:colOff>
      <xdr:row>63</xdr:row>
      <xdr:rowOff>9525</xdr:rowOff>
    </xdr:to>
    <xdr:pic>
      <xdr:nvPicPr>
        <xdr:cNvPr id="29" name="Picture 28" descr="http://www.abs.gov.au/icons/ecblank.gif"/>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629650" y="12411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476250</xdr:colOff>
      <xdr:row>46</xdr:row>
      <xdr:rowOff>19050</xdr:rowOff>
    </xdr:from>
    <xdr:to>
      <xdr:col>8</xdr:col>
      <xdr:colOff>609600</xdr:colOff>
      <xdr:row>60</xdr:row>
      <xdr:rowOff>47625</xdr:rowOff>
    </xdr:to>
    <xdr:sp macro="" textlink="">
      <xdr:nvSpPr>
        <xdr:cNvPr id="2" name="TextBox 1"/>
        <xdr:cNvSpPr txBox="1"/>
      </xdr:nvSpPr>
      <xdr:spPr>
        <a:xfrm>
          <a:off x="476250" y="9020175"/>
          <a:ext cx="5229225" cy="269557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Note: Data in this tab is sourced from the ABS. When</a:t>
          </a:r>
          <a:r>
            <a:rPr lang="en-AU" sz="1100" baseline="0"/>
            <a:t> classifying "base metals", the ABS includes Zinc, Lead, Copper, Nickel, Cobalt, Antimony, Cadmium, Tin and Tungsten. This is different to the DMP's use of the term "base metals", which is more narrowly used to include Copper, Lead and Zinc.</a:t>
          </a:r>
        </a:p>
        <a:p>
          <a:endParaRPr lang="en-AU" sz="1100" baseline="0"/>
        </a:p>
        <a:p>
          <a:r>
            <a:rPr lang="en-AU" sz="1100" baseline="0"/>
            <a:t>For that reason, it is neccesary to include both a "Copper, Lead, Zinc" entry in the table above and a "Base Metals" entry. The "Copper, Lead, Zinc" values are derived from the sum of the reported values for Copper and Silver, Lead, Zinc (exploration for Silver in isolation in Australia is assumed to be negligible), while the ABS includes all of the above mentioned metals in its Base Metals figure.</a:t>
          </a:r>
        </a:p>
        <a:p>
          <a:endParaRPr lang="en-AU" sz="1100" baseline="0"/>
        </a:p>
        <a:p>
          <a:r>
            <a:rPr lang="en-AU" sz="1100" baseline="0"/>
            <a:t>Discrepancies between the ABS' "Base Metals" figure, and the combination of the "Copper, Lead, Zinc" and "Nickel Cobalt" figures are accounted for either by exploration for a different commodity listed above, or for exploration that cannot be revealed without breaching commercial sensitivites.</a:t>
          </a:r>
        </a:p>
        <a:p>
          <a:endParaRPr lang="en-AU" sz="1100" baseline="0"/>
        </a:p>
        <a:p>
          <a:endParaRPr lang="en-AU" sz="1100"/>
        </a:p>
      </xdr:txBody>
    </xdr:sp>
    <xdr:clientData/>
  </xdr:twoCellAnchor>
  <xdr:twoCellAnchor editAs="oneCell">
    <xdr:from>
      <xdr:col>0</xdr:col>
      <xdr:colOff>571500</xdr:colOff>
      <xdr:row>18</xdr:row>
      <xdr:rowOff>0</xdr:rowOff>
    </xdr:from>
    <xdr:to>
      <xdr:col>13</xdr:col>
      <xdr:colOff>134010</xdr:colOff>
      <xdr:row>44</xdr:row>
      <xdr:rowOff>143698</xdr:rowOff>
    </xdr:to>
    <xdr:pic>
      <xdr:nvPicPr>
        <xdr:cNvPr id="30" name="Picture 29"/>
        <xdr:cNvPicPr>
          <a:picLocks noChangeAspect="1"/>
        </xdr:cNvPicPr>
      </xdr:nvPicPr>
      <xdr:blipFill>
        <a:blip xmlns:r="http://schemas.openxmlformats.org/officeDocument/2006/relationships" r:embed="rId8"/>
        <a:stretch>
          <a:fillRect/>
        </a:stretch>
      </xdr:blipFill>
      <xdr:spPr>
        <a:xfrm>
          <a:off x="571500" y="3667125"/>
          <a:ext cx="7620660" cy="509669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4762</xdr:colOff>
      <xdr:row>7</xdr:row>
      <xdr:rowOff>400050</xdr:rowOff>
    </xdr:from>
    <xdr:to>
      <xdr:col>18</xdr:col>
      <xdr:colOff>805048</xdr:colOff>
      <xdr:row>35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36</xdr:row>
      <xdr:rowOff>28575</xdr:rowOff>
    </xdr:from>
    <xdr:to>
      <xdr:col>18</xdr:col>
      <xdr:colOff>766342</xdr:colOff>
      <xdr:row>65</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4</xdr:col>
      <xdr:colOff>276603</xdr:colOff>
      <xdr:row>4</xdr:row>
      <xdr:rowOff>47715</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2705478" cy="647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647700</xdr:colOff>
      <xdr:row>3</xdr:row>
      <xdr:rowOff>76199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20</xdr:row>
          <xdr:rowOff>19050</xdr:rowOff>
        </xdr:from>
        <xdr:to>
          <xdr:col>3</xdr:col>
          <xdr:colOff>1362075</xdr:colOff>
          <xdr:row>49</xdr:row>
          <xdr:rowOff>133350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1466850</xdr:colOff>
          <xdr:row>20</xdr:row>
          <xdr:rowOff>19050</xdr:rowOff>
        </xdr:from>
        <xdr:to>
          <xdr:col>4</xdr:col>
          <xdr:colOff>333375</xdr:colOff>
          <xdr:row>39</xdr:row>
          <xdr:rowOff>171450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181914</xdr:colOff>
      <xdr:row>3</xdr:row>
      <xdr:rowOff>76290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478" cy="647790"/>
        </a:xfrm>
        <a:prstGeom prst="rect">
          <a:avLst/>
        </a:prstGeom>
      </xdr:spPr>
    </xdr:pic>
    <xdr:clientData/>
  </xdr:twoCellAnchor>
  <xdr:twoCellAnchor>
    <xdr:from>
      <xdr:col>13</xdr:col>
      <xdr:colOff>9525</xdr:colOff>
      <xdr:row>19</xdr:row>
      <xdr:rowOff>180975</xdr:rowOff>
    </xdr:from>
    <xdr:to>
      <xdr:col>17</xdr:col>
      <xdr:colOff>1184275</xdr:colOff>
      <xdr:row>36</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20</xdr:row>
      <xdr:rowOff>0</xdr:rowOff>
    </xdr:from>
    <xdr:to>
      <xdr:col>23</xdr:col>
      <xdr:colOff>1127125</xdr:colOff>
      <xdr:row>38</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520331</xdr:colOff>
      <xdr:row>3</xdr:row>
      <xdr:rowOff>66765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1556" cy="647790"/>
        </a:xfrm>
        <a:prstGeom prst="rect">
          <a:avLst/>
        </a:prstGeom>
      </xdr:spPr>
    </xdr:pic>
    <xdr:clientData/>
  </xdr:twoCellAnchor>
  <xdr:twoCellAnchor>
    <xdr:from>
      <xdr:col>5</xdr:col>
      <xdr:colOff>138208</xdr:colOff>
      <xdr:row>3</xdr:row>
      <xdr:rowOff>17930</xdr:rowOff>
    </xdr:from>
    <xdr:to>
      <xdr:col>17</xdr:col>
      <xdr:colOff>392206</xdr:colOff>
      <xdr:row>21</xdr:row>
      <xdr:rowOff>381000</xdr:rowOff>
    </xdr:to>
    <xdr:grpSp>
      <xdr:nvGrpSpPr>
        <xdr:cNvPr id="3" name="Group 2"/>
        <xdr:cNvGrpSpPr/>
      </xdr:nvGrpSpPr>
      <xdr:grpSpPr>
        <a:xfrm>
          <a:off x="6186583" y="598955"/>
          <a:ext cx="7569198" cy="4173070"/>
          <a:chOff x="149414" y="5654489"/>
          <a:chExt cx="7515410" cy="4509246"/>
        </a:xfrm>
      </xdr:grpSpPr>
      <xdr:graphicFrame macro="">
        <xdr:nvGraphicFramePr>
          <xdr:cNvPr id="4" name="Chart 3"/>
          <xdr:cNvGraphicFramePr/>
        </xdr:nvGraphicFramePr>
        <xdr:xfrm>
          <a:off x="149414" y="5654489"/>
          <a:ext cx="7515410" cy="4509246"/>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5" name="TextBox 1"/>
          <xdr:cNvSpPr txBox="1"/>
        </xdr:nvSpPr>
        <xdr:spPr>
          <a:xfrm>
            <a:off x="224118" y="9861177"/>
            <a:ext cx="2412140" cy="2436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000" b="1">
                <a:latin typeface="+mn-lt"/>
              </a:rPr>
              <a:t>Source:  DMP and WA Treasury</a:t>
            </a:r>
          </a:p>
        </xdr:txBody>
      </xdr:sp>
    </xdr:grpSp>
    <xdr:clientData/>
  </xdr:twoCellAnchor>
  <xdr:twoCellAnchor>
    <xdr:from>
      <xdr:col>18</xdr:col>
      <xdr:colOff>12887</xdr:colOff>
      <xdr:row>3</xdr:row>
      <xdr:rowOff>21571</xdr:rowOff>
    </xdr:from>
    <xdr:to>
      <xdr:col>29</xdr:col>
      <xdr:colOff>227282</xdr:colOff>
      <xdr:row>21</xdr:row>
      <xdr:rowOff>369794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2701245</xdr:colOff>
      <xdr:row>3</xdr:row>
      <xdr:rowOff>76290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1245" cy="64779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857250</xdr:colOff>
      <xdr:row>3</xdr:row>
      <xdr:rowOff>76199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238125</xdr:colOff>
          <xdr:row>0</xdr:row>
          <xdr:rowOff>38100</xdr:rowOff>
        </xdr:from>
        <xdr:to>
          <xdr:col>15</xdr:col>
          <xdr:colOff>152400</xdr:colOff>
          <xdr:row>9</xdr:row>
          <xdr:rowOff>152400</xdr:rowOff>
        </xdr:to>
        <xdr:sp macro="" textlink="">
          <xdr:nvSpPr>
            <xdr:cNvPr id="44036" name="Object 4" hidden="1">
              <a:extLst>
                <a:ext uri="{63B3BB69-23CF-44E3-9099-C40C66FF867C}">
                  <a14:compatExt spid="_x0000_s44036"/>
                </a:ext>
              </a:extLst>
            </xdr:cNvPr>
            <xdr:cNvSpPr/>
          </xdr:nvSpPr>
          <xdr:spPr>
            <a:xfrm>
              <a:off x="0" y="0"/>
              <a:ext cx="0" cy="0"/>
            </a:xfrm>
            <a:prstGeom prst="rect">
              <a:avLst/>
            </a:prstGeom>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2705100</xdr:colOff>
      <xdr:row>3</xdr:row>
      <xdr:rowOff>76199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3</xdr:col>
      <xdr:colOff>451485</xdr:colOff>
      <xdr:row>3</xdr:row>
      <xdr:rowOff>135255</xdr:rowOff>
    </xdr:from>
    <xdr:to>
      <xdr:col>13</xdr:col>
      <xdr:colOff>104775</xdr:colOff>
      <xdr:row>31</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161925</xdr:colOff>
      <xdr:row>3</xdr:row>
      <xdr:rowOff>76199</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wsDr>
</file>

<file path=xl/drawings/drawing26.xml><?xml version="1.0" encoding="utf-8"?>
<c:userShapes xmlns:c="http://schemas.openxmlformats.org/drawingml/2006/chart">
  <cdr:relSizeAnchor xmlns:cdr="http://schemas.openxmlformats.org/drawingml/2006/chartDrawing">
    <cdr:from>
      <cdr:x>0.01771</cdr:x>
      <cdr:y>0.91995</cdr:y>
    </cdr:from>
    <cdr:to>
      <cdr:x>0.23896</cdr:x>
      <cdr:y>0.98447</cdr:y>
    </cdr:to>
    <cdr:sp macro="" textlink="">
      <cdr:nvSpPr>
        <cdr:cNvPr id="3073" name="Text Box 1"/>
        <cdr:cNvSpPr txBox="1">
          <a:spLocks xmlns:a="http://schemas.openxmlformats.org/drawingml/2006/main" noChangeArrowheads="1"/>
        </cdr:cNvSpPr>
      </cdr:nvSpPr>
      <cdr:spPr bwMode="auto">
        <a:xfrm xmlns:a="http://schemas.openxmlformats.org/drawingml/2006/main">
          <a:off x="101840" y="4291905"/>
          <a:ext cx="1272031" cy="3010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AU" sz="800" b="0" i="0" u="none" strike="noStrike" baseline="0">
              <a:solidFill>
                <a:srgbClr val="000000"/>
              </a:solidFill>
              <a:latin typeface="Arial"/>
              <a:cs typeface="Arial"/>
            </a:rPr>
            <a:t>Source:  DMP </a:t>
          </a:r>
        </a:p>
      </cdr:txBody>
    </cdr:sp>
  </cdr:relSizeAnchor>
</c:userShapes>
</file>

<file path=xl/drawings/drawing27.xml><?xml version="1.0" encoding="utf-8"?>
<xdr:wsDr xmlns:xdr="http://schemas.openxmlformats.org/drawingml/2006/spreadsheetDrawing" xmlns:a="http://schemas.openxmlformats.org/drawingml/2006/main">
  <xdr:twoCellAnchor>
    <xdr:from>
      <xdr:col>12</xdr:col>
      <xdr:colOff>533400</xdr:colOff>
      <xdr:row>23</xdr:row>
      <xdr:rowOff>66675</xdr:rowOff>
    </xdr:from>
    <xdr:to>
      <xdr:col>22</xdr:col>
      <xdr:colOff>506413</xdr:colOff>
      <xdr:row>46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2705100</xdr:colOff>
      <xdr:row>3</xdr:row>
      <xdr:rowOff>76199</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323850</xdr:colOff>
      <xdr:row>24</xdr:row>
      <xdr:rowOff>129268</xdr:rowOff>
    </xdr:from>
    <xdr:to>
      <xdr:col>23</xdr:col>
      <xdr:colOff>373062</xdr:colOff>
      <xdr:row>48</xdr:row>
      <xdr:rowOff>12247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2705100</xdr:colOff>
      <xdr:row>3</xdr:row>
      <xdr:rowOff>76199</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150159</xdr:colOff>
      <xdr:row>5</xdr:row>
      <xdr:rowOff>76199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twoCellAnchor>
    <xdr:from>
      <xdr:col>1</xdr:col>
      <xdr:colOff>99143</xdr:colOff>
      <xdr:row>185</xdr:row>
      <xdr:rowOff>49696</xdr:rowOff>
    </xdr:from>
    <xdr:to>
      <xdr:col>14</xdr:col>
      <xdr:colOff>570412</xdr:colOff>
      <xdr:row>217</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184</xdr:row>
      <xdr:rowOff>0</xdr:rowOff>
    </xdr:from>
    <xdr:to>
      <xdr:col>30</xdr:col>
      <xdr:colOff>66675</xdr:colOff>
      <xdr:row>216</xdr:row>
      <xdr:rowOff>136208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1524000</xdr:colOff>
      <xdr:row>3</xdr:row>
      <xdr:rowOff>76199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twoCellAnchor>
    <xdr:from>
      <xdr:col>0</xdr:col>
      <xdr:colOff>438150</xdr:colOff>
      <xdr:row>6</xdr:row>
      <xdr:rowOff>114301</xdr:rowOff>
    </xdr:from>
    <xdr:to>
      <xdr:col>6</xdr:col>
      <xdr:colOff>95250</xdr:colOff>
      <xdr:row>20</xdr:row>
      <xdr:rowOff>0</xdr:rowOff>
    </xdr:to>
    <xdr:sp macro="" textlink="">
      <xdr:nvSpPr>
        <xdr:cNvPr id="27650" name="Text Box 2"/>
        <xdr:cNvSpPr txBox="1">
          <a:spLocks noChangeArrowheads="1"/>
        </xdr:cNvSpPr>
      </xdr:nvSpPr>
      <xdr:spPr bwMode="auto">
        <a:xfrm>
          <a:off x="438150" y="1257301"/>
          <a:ext cx="6210300" cy="2600324"/>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27432" rIns="0" bIns="0" anchor="t" upright="1"/>
        <a:lstStyle/>
        <a:p>
          <a:pPr algn="l" rtl="0">
            <a:defRPr sz="1000"/>
          </a:pPr>
          <a:r>
            <a:rPr lang="en-AU" sz="1100" b="1" i="0" u="none" strike="noStrike" baseline="0">
              <a:solidFill>
                <a:srgbClr val="000000"/>
              </a:solidFill>
              <a:latin typeface="+mn-lt"/>
            </a:rPr>
            <a:t>Navigation: 		</a:t>
          </a:r>
          <a:r>
            <a:rPr lang="en-AU" sz="1100" b="0" i="0" u="none" strike="noStrike" baseline="0">
              <a:solidFill>
                <a:srgbClr val="000000"/>
              </a:solidFill>
              <a:latin typeface="+mn-lt"/>
            </a:rPr>
            <a:t>All tabs have a link to the index tab in the top left. Clicking on this logo will 		return you to the index page. Alternately, navigate through the named 		tabs at the bottom of the screen.</a:t>
          </a:r>
        </a:p>
        <a:p>
          <a:pPr algn="l" rtl="0">
            <a:defRPr sz="1000"/>
          </a:pPr>
          <a:endParaRPr lang="en-AU" sz="1100" b="0" i="0" u="none" strike="noStrike" baseline="0">
            <a:solidFill>
              <a:srgbClr val="000000"/>
            </a:solidFill>
            <a:latin typeface="+mn-lt"/>
          </a:endParaRPr>
        </a:p>
        <a:p>
          <a:pPr rtl="0"/>
          <a:r>
            <a:rPr lang="en-AU" sz="1100" b="1" i="0" baseline="0">
              <a:effectLst/>
              <a:latin typeface="+mn-lt"/>
              <a:ea typeface="+mn-ea"/>
              <a:cs typeface="+mn-cs"/>
            </a:rPr>
            <a:t>Dynamic Graphs: 	</a:t>
          </a:r>
          <a:r>
            <a:rPr lang="en-AU" sz="1100" b="0" i="0" baseline="0">
              <a:effectLst/>
              <a:latin typeface="+mn-lt"/>
              <a:ea typeface="+mn-ea"/>
              <a:cs typeface="+mn-cs"/>
            </a:rPr>
            <a:t>Several of the charts and graphs in this workbook are dynamic, i.e. they 		can display more than one set of data. To the right, you can see some 		examples of cells formatted for input.  Where you see similar cells 		throughout the workbook, you may click on them to manipulate displayed 		data.</a:t>
          </a:r>
          <a:endParaRPr lang="en-AU">
            <a:effectLst/>
          </a:endParaRPr>
        </a:p>
        <a:p>
          <a:pPr rtl="0"/>
          <a:r>
            <a:rPr lang="en-AU" sz="1100" b="0" i="0" baseline="0">
              <a:effectLst/>
              <a:latin typeface="+mn-lt"/>
              <a:ea typeface="+mn-ea"/>
              <a:cs typeface="+mn-cs"/>
            </a:rPr>
            <a:t>		Note that all the raw data underpinning these dynamic tables and graphs 		is available within the sheet. For example, the raw data that populates the 		"Calendar Year Employment" tab is found in the "Historic Employment 		Monthly" tab.</a:t>
          </a:r>
          <a:endParaRPr lang="en-AU">
            <a:effectLst/>
          </a:endParaRPr>
        </a:p>
        <a:p>
          <a:pPr algn="l" rtl="0">
            <a:defRPr sz="1000"/>
          </a:pPr>
          <a:endParaRPr lang="en-AU" sz="1100" b="0" i="0" u="none" strike="noStrike" baseline="0">
            <a:solidFill>
              <a:srgbClr val="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2705478</xdr:colOff>
      <xdr:row>3</xdr:row>
      <xdr:rowOff>76290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05478" cy="6477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613833</xdr:colOff>
      <xdr:row>25</xdr:row>
      <xdr:rowOff>63499</xdr:rowOff>
    </xdr:from>
    <xdr:to>
      <xdr:col>16</xdr:col>
      <xdr:colOff>476673</xdr:colOff>
      <xdr:row>58</xdr:row>
      <xdr:rowOff>137582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552450</xdr:colOff>
      <xdr:row>3</xdr:row>
      <xdr:rowOff>152399</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0.13176</cdr:x>
      <cdr:y>0.89365</cdr:y>
    </cdr:from>
    <cdr:to>
      <cdr:x>0.8421</cdr:x>
      <cdr:y>0.9546</cdr:y>
    </cdr:to>
    <cdr:sp macro="" textlink="">
      <cdr:nvSpPr>
        <cdr:cNvPr id="3369985" name="Text Box 1"/>
        <cdr:cNvSpPr txBox="1">
          <a:spLocks xmlns:a="http://schemas.openxmlformats.org/drawingml/2006/main" noChangeArrowheads="1"/>
        </cdr:cNvSpPr>
      </cdr:nvSpPr>
      <cdr:spPr bwMode="auto">
        <a:xfrm xmlns:a="http://schemas.openxmlformats.org/drawingml/2006/main">
          <a:off x="675933" y="4858458"/>
          <a:ext cx="3644183" cy="3313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AU" sz="825" b="0" i="0" u="none" strike="noStrike" baseline="0">
              <a:solidFill>
                <a:srgbClr val="000000"/>
              </a:solidFill>
              <a:latin typeface="Arial"/>
              <a:cs typeface="Arial"/>
            </a:rPr>
            <a:t>Source: LME, Kitco, Metal Prices, WATC and DMP   </a:t>
          </a: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5</xdr:row>
      <xdr:rowOff>28575</xdr:rowOff>
    </xdr:from>
    <xdr:to>
      <xdr:col>16</xdr:col>
      <xdr:colOff>161926</xdr:colOff>
      <xdr:row>26</xdr:row>
      <xdr:rowOff>13335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876300</xdr:colOff>
      <xdr:row>3</xdr:row>
      <xdr:rowOff>76199</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0.64107</cdr:x>
      <cdr:y>0.9431</cdr:y>
    </cdr:from>
    <cdr:to>
      <cdr:x>0.70196</cdr:x>
      <cdr:y>0.995</cdr:y>
    </cdr:to>
    <cdr:sp macro="" textlink="">
      <cdr:nvSpPr>
        <cdr:cNvPr id="74753" name="Text Box 1"/>
        <cdr:cNvSpPr txBox="1">
          <a:spLocks xmlns:a="http://schemas.openxmlformats.org/drawingml/2006/main" noChangeArrowheads="1"/>
        </cdr:cNvSpPr>
      </cdr:nvSpPr>
      <cdr:spPr bwMode="auto">
        <a:xfrm xmlns:a="http://schemas.openxmlformats.org/drawingml/2006/main">
          <a:off x="3087860" y="3341131"/>
          <a:ext cx="305011" cy="1447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AU"/>
        </a:p>
      </cdr:txBody>
    </cdr:sp>
  </cdr:relSizeAnchor>
</c:userShapes>
</file>

<file path=xl/drawings/drawing8.xml><?xml version="1.0" encoding="utf-8"?>
<xdr:wsDr xmlns:xdr="http://schemas.openxmlformats.org/drawingml/2006/spreadsheetDrawing" xmlns:a="http://schemas.openxmlformats.org/drawingml/2006/main">
  <xdr:twoCellAnchor>
    <xdr:from>
      <xdr:col>6</xdr:col>
      <xdr:colOff>9525</xdr:colOff>
      <xdr:row>5</xdr:row>
      <xdr:rowOff>0</xdr:rowOff>
    </xdr:from>
    <xdr:to>
      <xdr:col>16</xdr:col>
      <xdr:colOff>485774</xdr:colOff>
      <xdr:row>26</xdr:row>
      <xdr:rowOff>131657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876300</xdr:colOff>
      <xdr:row>3</xdr:row>
      <xdr:rowOff>76199</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705100" cy="647699"/>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0.64107</cdr:x>
      <cdr:y>0.9431</cdr:y>
    </cdr:from>
    <cdr:to>
      <cdr:x>0.70196</cdr:x>
      <cdr:y>0.995</cdr:y>
    </cdr:to>
    <cdr:sp macro="" textlink="">
      <cdr:nvSpPr>
        <cdr:cNvPr id="74753" name="Text Box 1"/>
        <cdr:cNvSpPr txBox="1">
          <a:spLocks xmlns:a="http://schemas.openxmlformats.org/drawingml/2006/main" noChangeArrowheads="1"/>
        </cdr:cNvSpPr>
      </cdr:nvSpPr>
      <cdr:spPr bwMode="auto">
        <a:xfrm xmlns:a="http://schemas.openxmlformats.org/drawingml/2006/main">
          <a:off x="3087860" y="3341131"/>
          <a:ext cx="305011" cy="1447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A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odstore.internal.dom/OurDocs01/Users/Open/Users/Hailey.ADAMS/Statistics%20and%20data/000271.Hailey.ADA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e Data"/>
      <sheetName val="Monthly Report Data"/>
      <sheetName val="Monthly Report Graphs"/>
      <sheetName val="ABS Pricing Data"/>
      <sheetName val="Generated Quarter Averages"/>
      <sheetName val="Generated Calendar Averages"/>
      <sheetName val="Generated FY Averages"/>
      <sheetName val="Monthly Price Data Petroleum"/>
      <sheetName val="Monthly Price Data Petroleum GJ"/>
      <sheetName val="Generation - Digest Gas Graphs"/>
      <sheetName val="Generated Qtr Avgs Petroleum"/>
      <sheetName val="Generated Cal Avgs Petroleum"/>
      <sheetName val="Generated FY Avgs Petroleum"/>
      <sheetName val="Comparison AG"/>
      <sheetName val="Monthly Report Graphs (2)"/>
      <sheetName val="Commodity Price Graphs"/>
      <sheetName val="Data"/>
      <sheetName val="Superseded data"/>
    </sheetNames>
    <sheetDataSet>
      <sheetData sheetId="0"/>
      <sheetData sheetId="1"/>
      <sheetData sheetId="2"/>
      <sheetData sheetId="3"/>
      <sheetData sheetId="4">
        <row r="7">
          <cell r="E7" t="str">
            <v>Q11999</v>
          </cell>
        </row>
      </sheetData>
      <sheetData sheetId="5"/>
      <sheetData sheetId="6"/>
      <sheetData sheetId="7"/>
      <sheetData sheetId="8"/>
      <sheetData sheetId="9"/>
      <sheetData sheetId="10"/>
      <sheetData sheetId="11"/>
      <sheetData sheetId="12"/>
      <sheetData sheetId="13"/>
      <sheetData sheetId="14"/>
      <sheetData sheetId="15"/>
      <sheetData sheetId="16">
        <row r="3">
          <cell r="A3" t="str">
            <v>&gt;=</v>
          </cell>
        </row>
        <row r="4">
          <cell r="A4" t="str">
            <v>&lt;=</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3.xml"/><Relationship Id="rId1" Type="http://schemas.openxmlformats.org/officeDocument/2006/relationships/printerSettings" Target="../printerSettings/printerSettings16.bin"/><Relationship Id="rId5" Type="http://schemas.openxmlformats.org/officeDocument/2006/relationships/image" Target="../media/image8.emf"/><Relationship Id="rId4" Type="http://schemas.openxmlformats.org/officeDocument/2006/relationships/package" Target="../embeddings/Microsoft_Word_Document4.docx"/></Relationships>
</file>

<file path=xl/worksheets/_rels/sheet2.xml.rels><?xml version="1.0" encoding="UTF-8" standalone="yes"?>
<Relationships xmlns="http://schemas.openxmlformats.org/package/2006/relationships"><Relationship Id="rId8" Type="http://schemas.openxmlformats.org/officeDocument/2006/relationships/hyperlink" Target="http://www.abs.gov.au/AUSSTATS/abs@.nsf/DetailsPage/8412.0Dec%202015?OpenDocument" TargetMode="External"/><Relationship Id="rId13" Type="http://schemas.openxmlformats.org/officeDocument/2006/relationships/hyperlink" Target="http://www.abs.gov.au/ausstats/abs@.nsf/mf/5368.0" TargetMode="External"/><Relationship Id="rId18" Type="http://schemas.openxmlformats.org/officeDocument/2006/relationships/image" Target="../media/image3.emf"/><Relationship Id="rId3" Type="http://schemas.openxmlformats.org/officeDocument/2006/relationships/hyperlink" Target="http://www.dmp.wa.gov.au/" TargetMode="External"/><Relationship Id="rId7" Type="http://schemas.openxmlformats.org/officeDocument/2006/relationships/hyperlink" Target="http://www.abs.gov.au/AUSSTATS/abs@.nsf/DetailsPage/8412.0Dec%202015?OpenDocument" TargetMode="External"/><Relationship Id="rId12" Type="http://schemas.openxmlformats.org/officeDocument/2006/relationships/hyperlink" Target="http://www.abs.gov.au/ausstats/abs@.nsf/mf/5625.0" TargetMode="External"/><Relationship Id="rId17" Type="http://schemas.openxmlformats.org/officeDocument/2006/relationships/package" Target="../embeddings/Microsoft_Word_Document2.docx"/><Relationship Id="rId2" Type="http://schemas.openxmlformats.org/officeDocument/2006/relationships/hyperlink" Target="http://www.watc.wa.gov.au/" TargetMode="External"/><Relationship Id="rId16" Type="http://schemas.openxmlformats.org/officeDocument/2006/relationships/vmlDrawing" Target="../drawings/vmlDrawing2.vml"/><Relationship Id="rId20" Type="http://schemas.openxmlformats.org/officeDocument/2006/relationships/image" Target="../media/image4.emf"/><Relationship Id="rId1" Type="http://schemas.openxmlformats.org/officeDocument/2006/relationships/hyperlink" Target="http://www.rba.gov.au/statistics/tables/index.html" TargetMode="External"/><Relationship Id="rId6" Type="http://schemas.openxmlformats.org/officeDocument/2006/relationships/hyperlink" Target="https://lme.com/" TargetMode="External"/><Relationship Id="rId11" Type="http://schemas.openxmlformats.org/officeDocument/2006/relationships/hyperlink" Target="http://www.rba.gov.au/statistics/historical-data.html" TargetMode="External"/><Relationship Id="rId5" Type="http://schemas.openxmlformats.org/officeDocument/2006/relationships/hyperlink" Target="http://www.kitco.com/" TargetMode="External"/><Relationship Id="rId15" Type="http://schemas.openxmlformats.org/officeDocument/2006/relationships/drawing" Target="../drawings/drawing2.xml"/><Relationship Id="rId10" Type="http://schemas.openxmlformats.org/officeDocument/2006/relationships/hyperlink" Target="http://www.rba.gov.au/statistics/historical-data.html" TargetMode="External"/><Relationship Id="rId19" Type="http://schemas.openxmlformats.org/officeDocument/2006/relationships/package" Target="../embeddings/Microsoft_Word_Document3.docx"/><Relationship Id="rId4" Type="http://schemas.openxmlformats.org/officeDocument/2006/relationships/hyperlink" Target="http://www.metalprices.com/" TargetMode="External"/><Relationship Id="rId9" Type="http://schemas.openxmlformats.org/officeDocument/2006/relationships/hyperlink" Target="http://www.abs.gov.au/ausstats/abs@.nsf/mf/5625.0"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9"/>
  <sheetViews>
    <sheetView tabSelected="1" workbookViewId="0"/>
  </sheetViews>
  <sheetFormatPr defaultRowHeight="15"/>
  <cols>
    <col min="1" max="1" width="26" style="135" bestFit="1" customWidth="1"/>
    <col min="2" max="2" width="1.5703125" style="135" bestFit="1" customWidth="1"/>
    <col min="3" max="3" width="31" style="135" bestFit="1" customWidth="1"/>
    <col min="4" max="4" width="127" style="135" bestFit="1" customWidth="1"/>
    <col min="5" max="16384" width="9.140625" style="135"/>
  </cols>
  <sheetData>
    <row r="1" spans="1:5">
      <c r="D1" s="244"/>
    </row>
    <row r="2" spans="1:5">
      <c r="D2" s="244"/>
    </row>
    <row r="3" spans="1:5">
      <c r="D3" s="244"/>
    </row>
    <row r="4" spans="1:5">
      <c r="D4" s="244"/>
    </row>
    <row r="5" spans="1:5">
      <c r="D5" s="85"/>
    </row>
    <row r="6" spans="1:5">
      <c r="D6" s="85"/>
    </row>
    <row r="7" spans="1:5">
      <c r="A7" s="85" t="s">
        <v>67</v>
      </c>
      <c r="B7" s="85" t="s">
        <v>38</v>
      </c>
      <c r="C7" s="86" t="s">
        <v>611</v>
      </c>
      <c r="D7" s="85" t="s">
        <v>610</v>
      </c>
    </row>
    <row r="8" spans="1:5">
      <c r="A8" s="85"/>
      <c r="B8" s="85" t="s">
        <v>38</v>
      </c>
      <c r="C8" s="86" t="s">
        <v>58</v>
      </c>
      <c r="D8" s="85" t="s">
        <v>552</v>
      </c>
    </row>
    <row r="9" spans="1:5">
      <c r="A9" s="85"/>
      <c r="B9" s="85" t="s">
        <v>38</v>
      </c>
      <c r="C9" s="86" t="s">
        <v>43</v>
      </c>
      <c r="D9" s="85" t="s">
        <v>69</v>
      </c>
    </row>
    <row r="10" spans="1:5">
      <c r="A10" s="85"/>
      <c r="B10" s="85" t="s">
        <v>38</v>
      </c>
      <c r="C10" s="86" t="s">
        <v>68</v>
      </c>
      <c r="D10" s="85" t="s">
        <v>432</v>
      </c>
    </row>
    <row r="11" spans="1:5">
      <c r="A11" s="85"/>
      <c r="B11" s="85" t="s">
        <v>38</v>
      </c>
      <c r="C11" s="86" t="s">
        <v>70</v>
      </c>
      <c r="D11" s="85" t="s">
        <v>553</v>
      </c>
      <c r="E11" s="37"/>
    </row>
    <row r="12" spans="1:5">
      <c r="A12" s="85"/>
      <c r="B12" s="85" t="s">
        <v>38</v>
      </c>
      <c r="C12" s="86" t="s">
        <v>270</v>
      </c>
      <c r="D12" s="85" t="s">
        <v>271</v>
      </c>
    </row>
    <row r="13" spans="1:5">
      <c r="A13" s="85"/>
      <c r="B13" s="85" t="s">
        <v>38</v>
      </c>
      <c r="C13" s="86" t="s">
        <v>275</v>
      </c>
      <c r="D13" s="85" t="s">
        <v>289</v>
      </c>
    </row>
    <row r="14" spans="1:5">
      <c r="A14" s="85" t="s">
        <v>191</v>
      </c>
      <c r="B14" s="85" t="s">
        <v>38</v>
      </c>
      <c r="C14" s="86" t="s">
        <v>71</v>
      </c>
      <c r="D14" s="85" t="s">
        <v>435</v>
      </c>
      <c r="E14" s="547"/>
    </row>
    <row r="15" spans="1:5">
      <c r="A15" s="85"/>
      <c r="B15" s="85" t="s">
        <v>38</v>
      </c>
      <c r="C15" s="86" t="s">
        <v>78</v>
      </c>
      <c r="D15" s="85" t="s">
        <v>436</v>
      </c>
      <c r="E15" s="547"/>
    </row>
    <row r="16" spans="1:5">
      <c r="A16" s="85"/>
      <c r="B16" s="85" t="s">
        <v>38</v>
      </c>
      <c r="C16" s="86" t="s">
        <v>90</v>
      </c>
      <c r="D16" s="85" t="s">
        <v>437</v>
      </c>
    </row>
    <row r="17" spans="1:6">
      <c r="A17" s="85"/>
      <c r="B17" s="85" t="s">
        <v>38</v>
      </c>
      <c r="C17" s="86" t="s">
        <v>438</v>
      </c>
      <c r="D17" s="85" t="s">
        <v>551</v>
      </c>
      <c r="E17" s="85"/>
      <c r="F17" s="85"/>
    </row>
    <row r="18" spans="1:6">
      <c r="A18" s="85"/>
      <c r="B18" s="85" t="s">
        <v>38</v>
      </c>
      <c r="C18" s="86" t="s">
        <v>439</v>
      </c>
      <c r="D18" s="85" t="s">
        <v>440</v>
      </c>
      <c r="E18" s="547"/>
      <c r="F18" s="85"/>
    </row>
    <row r="19" spans="1:6">
      <c r="A19" s="85"/>
      <c r="B19" s="85" t="s">
        <v>38</v>
      </c>
      <c r="C19" s="86" t="s">
        <v>91</v>
      </c>
      <c r="D19" s="85" t="s">
        <v>441</v>
      </c>
      <c r="E19" s="85"/>
      <c r="F19" s="85"/>
    </row>
    <row r="20" spans="1:6">
      <c r="A20" s="85" t="s">
        <v>272</v>
      </c>
      <c r="B20" s="85" t="s">
        <v>38</v>
      </c>
      <c r="C20" s="86" t="s">
        <v>354</v>
      </c>
      <c r="D20" s="85" t="s">
        <v>355</v>
      </c>
      <c r="E20" s="85"/>
      <c r="F20" s="85"/>
    </row>
    <row r="21" spans="1:6">
      <c r="A21" s="85"/>
      <c r="B21" s="85" t="s">
        <v>38</v>
      </c>
      <c r="C21" s="86" t="s">
        <v>273</v>
      </c>
      <c r="D21" s="85" t="s">
        <v>274</v>
      </c>
    </row>
    <row r="22" spans="1:6">
      <c r="A22" s="85" t="s">
        <v>190</v>
      </c>
      <c r="B22" s="85" t="s">
        <v>38</v>
      </c>
      <c r="C22" s="86" t="s">
        <v>95</v>
      </c>
      <c r="D22" s="85" t="s">
        <v>140</v>
      </c>
    </row>
    <row r="23" spans="1:6">
      <c r="A23" s="85"/>
      <c r="B23" s="85" t="s">
        <v>38</v>
      </c>
      <c r="C23" s="86" t="s">
        <v>189</v>
      </c>
      <c r="D23" s="85" t="s">
        <v>192</v>
      </c>
    </row>
    <row r="24" spans="1:6">
      <c r="A24" s="85"/>
      <c r="B24" s="85" t="s">
        <v>38</v>
      </c>
      <c r="C24" s="86" t="s">
        <v>638</v>
      </c>
      <c r="D24" s="244" t="s">
        <v>193</v>
      </c>
    </row>
    <row r="25" spans="1:6">
      <c r="A25" s="85"/>
      <c r="B25" s="85" t="s">
        <v>38</v>
      </c>
      <c r="C25" s="86" t="s">
        <v>340</v>
      </c>
      <c r="D25" s="244" t="s">
        <v>457</v>
      </c>
      <c r="E25" s="37"/>
    </row>
    <row r="26" spans="1:6">
      <c r="A26" s="85"/>
      <c r="B26" s="85" t="s">
        <v>38</v>
      </c>
      <c r="C26" s="86" t="s">
        <v>456</v>
      </c>
      <c r="D26" s="244" t="s">
        <v>458</v>
      </c>
      <c r="E26" s="37"/>
    </row>
    <row r="27" spans="1:6">
      <c r="A27" s="85"/>
      <c r="B27" s="85" t="s">
        <v>38</v>
      </c>
      <c r="C27" s="86" t="s">
        <v>248</v>
      </c>
      <c r="D27" s="85" t="s">
        <v>341</v>
      </c>
      <c r="E27" s="37"/>
    </row>
    <row r="28" spans="1:6">
      <c r="A28" s="85"/>
      <c r="B28" s="85" t="s">
        <v>38</v>
      </c>
      <c r="C28" s="86" t="s">
        <v>342</v>
      </c>
      <c r="D28" s="244" t="s">
        <v>343</v>
      </c>
      <c r="E28" s="37"/>
    </row>
    <row r="29" spans="1:6">
      <c r="A29" s="85" t="s">
        <v>433</v>
      </c>
      <c r="B29" s="85" t="s">
        <v>38</v>
      </c>
      <c r="C29" s="86" t="s">
        <v>433</v>
      </c>
      <c r="D29" s="244" t="s">
        <v>434</v>
      </c>
    </row>
    <row r="30" spans="1:6">
      <c r="A30" s="85" t="s">
        <v>56</v>
      </c>
      <c r="B30" s="85" t="s">
        <v>38</v>
      </c>
      <c r="C30" s="86" t="s">
        <v>39</v>
      </c>
      <c r="E30" s="37"/>
    </row>
    <row r="31" spans="1:6">
      <c r="A31" s="85"/>
      <c r="B31" s="85"/>
    </row>
    <row r="32" spans="1:6">
      <c r="E32" s="37"/>
    </row>
    <row r="35" spans="4:4">
      <c r="D35" s="37"/>
    </row>
    <row r="39" spans="4:4">
      <c r="D39" s="37"/>
    </row>
  </sheetData>
  <hyperlinks>
    <hyperlink ref="C8" location="'US and A$'!A1" display="US and A$"/>
    <hyperlink ref="C9" location="'Trade Weighted Index'!A1" display="Trade Weighted Index"/>
    <hyperlink ref="C10" location="'RBA spreadsheet of Comm prices'!A1" display="RBA Spreadsheet of Comm Prices"/>
    <hyperlink ref="C7" location="'Comparison 2015 and 2016'!A1" display="Comparison 2015 and 2016"/>
    <hyperlink ref="C30" location="'Data Sources'!A1" display="Sources"/>
    <hyperlink ref="C11" location="Exports!A1" display="Exports"/>
    <hyperlink ref="C14" location="'Mining Investment'!A1" display="Mining Investment"/>
    <hyperlink ref="C15" location="'New Capital Expenditure'!A1" display="New Capital Expenditure"/>
    <hyperlink ref="C16" location="'Mineral Exploration'!A1" display="Mineral Exploration"/>
    <hyperlink ref="C19" location="'Petroleum Exploration'!A1" display="Petroleum Exploration"/>
    <hyperlink ref="C22" location="'Employment by Site - Minerals'!A1" display="Employment by Site - Minerals"/>
    <hyperlink ref="C25" location="'Calendar Year Employment'!A1" display="Calendar Year Employment"/>
    <hyperlink ref="C24" location="'Employment by commodity'!A1" display="Employment by commodity"/>
    <hyperlink ref="C23" location="'Employment by Site - Petroleum'!A1" display="Employment by Site - Petroleum"/>
    <hyperlink ref="C27" location="'Historic Employment Monthly'!A1" display="Historic Employment Monthly"/>
    <hyperlink ref="C12" location="'WA vs Australia vs The World'!A1" display="WA vs Australia vs The World"/>
    <hyperlink ref="C21" location="'Royalties - Historic'!A1" display="Royalties - Historic"/>
    <hyperlink ref="C20" location="'Royalty Receipts - Latest'!A1" display="Royalty Receipts - Latest"/>
    <hyperlink ref="C13" location="'Quick Resources Facts'!A1" display="Quick Resources Facts"/>
    <hyperlink ref="C28" location="'Cal. Year Employment Pre 2000'!A1" display="Cal. Year Employment Pre 2000"/>
    <hyperlink ref="C29" location="'How To Use'!A1" display="How to Use"/>
    <hyperlink ref="C18" location="'Mineral Exploration Drilling'!A1" display="Mineral Exploration Drilling"/>
    <hyperlink ref="C17" location="'Min. Expl. Major Commodities'!A1" display="Min. Expl. Major Commodities"/>
    <hyperlink ref="C26" location="'Financial Year Employment'!A1" display="Financial Year Employment"/>
  </hyperlink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25601" r:id="rId4">
          <objectPr defaultSize="0" r:id="rId5">
            <anchor moveWithCells="1">
              <from>
                <xdr:col>3</xdr:col>
                <xdr:colOff>0</xdr:colOff>
                <xdr:row>31</xdr:row>
                <xdr:rowOff>19050</xdr:rowOff>
              </from>
              <to>
                <xdr:col>3</xdr:col>
                <xdr:colOff>4181475</xdr:colOff>
                <xdr:row>53</xdr:row>
                <xdr:rowOff>133350</xdr:rowOff>
              </to>
            </anchor>
          </objectPr>
        </oleObject>
      </mc:Choice>
      <mc:Fallback>
        <oleObject progId="Word.Document.12" shapeId="2560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30"/>
  <sheetViews>
    <sheetView workbookViewId="0"/>
  </sheetViews>
  <sheetFormatPr defaultRowHeight="15"/>
  <cols>
    <col min="1" max="1" width="9.140625" style="428"/>
    <col min="2" max="2" width="17.140625" style="428" customWidth="1"/>
    <col min="3" max="5" width="17.5703125" style="428" customWidth="1"/>
    <col min="6" max="16384" width="9.140625" style="428"/>
  </cols>
  <sheetData>
    <row r="6" spans="2:9">
      <c r="B6" s="357" t="s">
        <v>622</v>
      </c>
    </row>
    <row r="7" spans="2:9" ht="15.75" thickBot="1"/>
    <row r="8" spans="2:9" ht="16.5" customHeight="1" thickBot="1">
      <c r="B8" s="537" t="s">
        <v>177</v>
      </c>
      <c r="C8" s="538" t="s">
        <v>263</v>
      </c>
      <c r="D8" s="539" t="s">
        <v>290</v>
      </c>
      <c r="E8" s="540" t="s">
        <v>291</v>
      </c>
    </row>
    <row r="9" spans="2:9" ht="16.5" customHeight="1">
      <c r="B9" s="302" t="s">
        <v>12</v>
      </c>
      <c r="C9" s="300">
        <v>0.1198</v>
      </c>
      <c r="D9" s="541">
        <v>5.9299999999999999E-2</v>
      </c>
      <c r="E9" s="301">
        <v>0.82089999999999996</v>
      </c>
    </row>
    <row r="10" spans="2:9" ht="16.5" customHeight="1">
      <c r="B10" s="302" t="s">
        <v>18</v>
      </c>
      <c r="C10" s="303">
        <v>4.1799999999999997E-2</v>
      </c>
      <c r="D10" s="542">
        <v>0</v>
      </c>
      <c r="E10" s="304">
        <v>0.95820000000000005</v>
      </c>
    </row>
    <row r="11" spans="2:9" ht="16.5" customHeight="1">
      <c r="B11" s="302" t="s">
        <v>100</v>
      </c>
      <c r="C11" s="300">
        <v>7.8700000000000006E-2</v>
      </c>
      <c r="D11" s="541">
        <v>0</v>
      </c>
      <c r="E11" s="301">
        <v>0.92130000000000001</v>
      </c>
      <c r="I11" s="490" t="str">
        <f>CONCATENATE("Western Australia's Share of Global Production ",LEFT(B6,4))</f>
        <v>Western Australia's Share of Global Production 2016</v>
      </c>
    </row>
    <row r="12" spans="2:9" ht="16.5" customHeight="1">
      <c r="B12" s="302" t="s">
        <v>293</v>
      </c>
      <c r="C12" s="303">
        <v>0.33800000000000002</v>
      </c>
      <c r="D12" s="542">
        <v>0</v>
      </c>
      <c r="E12" s="304">
        <v>0.66200000000000003</v>
      </c>
    </row>
    <row r="13" spans="2:9" ht="16.5" customHeight="1">
      <c r="B13" s="302" t="s">
        <v>15</v>
      </c>
      <c r="C13" s="300">
        <v>6.0400000000000002E-2</v>
      </c>
      <c r="D13" s="541">
        <v>2.8299999999999999E-2</v>
      </c>
      <c r="E13" s="301">
        <v>0.91120000000000001</v>
      </c>
    </row>
    <row r="14" spans="2:9" ht="16.5" customHeight="1">
      <c r="B14" s="299" t="s">
        <v>19</v>
      </c>
      <c r="C14" s="303">
        <v>0.1106</v>
      </c>
      <c r="D14" s="542">
        <v>1.23E-2</v>
      </c>
      <c r="E14" s="304">
        <v>0.87709999999999999</v>
      </c>
    </row>
    <row r="15" spans="2:9" ht="16.5" customHeight="1">
      <c r="B15" s="302" t="s">
        <v>180</v>
      </c>
      <c r="C15" s="300">
        <v>0.3745</v>
      </c>
      <c r="D15" s="541">
        <v>5.7000000000000002E-3</v>
      </c>
      <c r="E15" s="301">
        <v>0.61980000000000002</v>
      </c>
    </row>
    <row r="16" spans="2:9" ht="16.5" customHeight="1">
      <c r="B16" s="299" t="s">
        <v>292</v>
      </c>
      <c r="C16" s="632">
        <v>9.0200000000000002E-2</v>
      </c>
      <c r="D16" s="633">
        <v>8.14E-2</v>
      </c>
      <c r="E16" s="634">
        <v>0.82840000000000003</v>
      </c>
    </row>
    <row r="17" spans="2:7" ht="16.5" customHeight="1">
      <c r="B17" s="302" t="s">
        <v>17</v>
      </c>
      <c r="C17" s="300">
        <v>7.3599999999999999E-2</v>
      </c>
      <c r="D17" s="541">
        <v>0</v>
      </c>
      <c r="E17" s="301">
        <v>0.9264</v>
      </c>
    </row>
    <row r="18" spans="2:7" ht="16.5" customHeight="1">
      <c r="B18" s="302" t="s">
        <v>636</v>
      </c>
      <c r="C18" s="303">
        <v>0.1336</v>
      </c>
      <c r="D18" s="542">
        <v>0</v>
      </c>
      <c r="E18" s="304">
        <v>0.86639999999999995</v>
      </c>
    </row>
    <row r="19" spans="2:7" ht="16.5" customHeight="1">
      <c r="B19" s="299" t="s">
        <v>20</v>
      </c>
      <c r="C19" s="300">
        <v>0.4138</v>
      </c>
      <c r="D19" s="541">
        <v>5.7299999999999997E-2</v>
      </c>
      <c r="E19" s="301">
        <v>0.52890000000000004</v>
      </c>
    </row>
    <row r="20" spans="2:7" ht="16.5" customHeight="1">
      <c r="B20" s="302" t="s">
        <v>120</v>
      </c>
      <c r="C20" s="303">
        <v>4.0800000000000003E-2</v>
      </c>
      <c r="D20" s="542">
        <v>6.1999999999999998E-3</v>
      </c>
      <c r="E20" s="304">
        <v>0.95289999999999997</v>
      </c>
    </row>
    <row r="21" spans="2:7" ht="16.5" customHeight="1" thickBot="1">
      <c r="B21" s="543" t="s">
        <v>21</v>
      </c>
      <c r="C21" s="305">
        <v>8.4099999999999994E-2</v>
      </c>
      <c r="D21" s="544">
        <v>0.29260000000000003</v>
      </c>
      <c r="E21" s="306">
        <v>0.62329999999999997</v>
      </c>
    </row>
    <row r="23" spans="2:7">
      <c r="G23" s="183" t="s">
        <v>580</v>
      </c>
    </row>
    <row r="26" spans="2:7">
      <c r="B26" s="244"/>
      <c r="C26" s="244"/>
      <c r="D26" s="244"/>
      <c r="E26" s="244"/>
      <c r="F26" s="244"/>
      <c r="G26" s="244"/>
    </row>
    <row r="27" spans="2:7">
      <c r="B27" s="244"/>
      <c r="C27" s="244"/>
      <c r="D27" s="244"/>
      <c r="E27" s="244"/>
      <c r="F27" s="244"/>
      <c r="G27" s="244"/>
    </row>
    <row r="28" spans="2:7">
      <c r="B28" s="545"/>
      <c r="C28" s="546"/>
      <c r="D28" s="546"/>
      <c r="E28" s="546"/>
      <c r="F28" s="244"/>
      <c r="G28" s="244"/>
    </row>
    <row r="29" spans="2:7">
      <c r="B29" s="244"/>
      <c r="C29" s="244"/>
      <c r="D29" s="244"/>
      <c r="E29" s="244"/>
      <c r="F29" s="244"/>
      <c r="G29" s="244"/>
    </row>
    <row r="30" spans="2:7">
      <c r="B30" s="244"/>
      <c r="C30" s="244"/>
      <c r="D30" s="244"/>
      <c r="E30" s="244"/>
      <c r="F30" s="244"/>
      <c r="G30" s="24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7"/>
  <sheetViews>
    <sheetView topLeftCell="B1" zoomScaleNormal="100" workbookViewId="0">
      <selection activeCell="B1" sqref="B1"/>
    </sheetView>
  </sheetViews>
  <sheetFormatPr defaultRowHeight="15"/>
  <cols>
    <col min="1" max="1" width="9.140625" style="89" hidden="1" customWidth="1"/>
    <col min="2" max="2" width="9.28515625" style="428" bestFit="1" customWidth="1"/>
    <col min="3" max="3" width="17.28515625" style="428" bestFit="1" customWidth="1"/>
    <col min="4" max="4" width="16.28515625" style="428" customWidth="1"/>
    <col min="5" max="5" width="11.85546875" style="428" bestFit="1" customWidth="1"/>
    <col min="6" max="6" width="17.85546875" style="428" bestFit="1" customWidth="1"/>
    <col min="7" max="7" width="3.5703125" style="428" customWidth="1"/>
    <col min="8" max="8" width="4" style="428" customWidth="1"/>
    <col min="9" max="9" width="10.7109375" style="428" bestFit="1" customWidth="1"/>
    <col min="10" max="10" width="17.28515625" style="428" bestFit="1" customWidth="1"/>
    <col min="11" max="11" width="15.5703125" style="428" bestFit="1" customWidth="1"/>
    <col min="12" max="12" width="11.85546875" style="428" bestFit="1" customWidth="1"/>
    <col min="13" max="13" width="17.85546875" style="428" bestFit="1" customWidth="1"/>
    <col min="14" max="14" width="4.140625" style="428" customWidth="1"/>
    <col min="15" max="15" width="9.85546875" style="428" bestFit="1" customWidth="1"/>
    <col min="16" max="16" width="17.28515625" style="428" bestFit="1" customWidth="1"/>
    <col min="17" max="17" width="15.5703125" style="428" bestFit="1" customWidth="1"/>
    <col min="18" max="18" width="11.85546875" style="428" bestFit="1" customWidth="1"/>
    <col min="19" max="19" width="17.85546875" style="428" bestFit="1" customWidth="1"/>
    <col min="20" max="16384" width="9.140625" style="428"/>
  </cols>
  <sheetData>
    <row r="1" spans="1:33">
      <c r="I1" s="550">
        <f>(LARGE(B7:B507,1))</f>
        <v>42705</v>
      </c>
    </row>
    <row r="2" spans="1:33">
      <c r="I2" s="550">
        <f>MATCH(I1,B7:B507,0)+6</f>
        <v>117</v>
      </c>
    </row>
    <row r="3" spans="1:33">
      <c r="I3" s="434" t="str">
        <f ca="1">IF(MONTH(INDIRECT(CONCATENATE("B",I2)))=12, "Calendar Year", "Financial year")</f>
        <v>Calendar Year</v>
      </c>
    </row>
    <row r="5" spans="1:33" ht="15.75" thickBot="1">
      <c r="B5" s="15" t="s">
        <v>583</v>
      </c>
      <c r="C5" s="15"/>
      <c r="D5" s="15"/>
      <c r="E5" s="15"/>
      <c r="F5" s="15"/>
      <c r="I5" s="15" t="s">
        <v>581</v>
      </c>
      <c r="J5" s="15"/>
      <c r="K5" s="15"/>
      <c r="L5" s="15"/>
      <c r="M5" s="15"/>
      <c r="N5" s="109"/>
      <c r="O5" s="15" t="s">
        <v>582</v>
      </c>
      <c r="P5" s="15"/>
      <c r="Q5" s="15"/>
      <c r="R5" s="15"/>
      <c r="S5" s="15"/>
    </row>
    <row r="6" spans="1:33" ht="45.75" thickBot="1">
      <c r="B6" s="90" t="s">
        <v>40</v>
      </c>
      <c r="C6" s="91" t="s">
        <v>74</v>
      </c>
      <c r="D6" s="91" t="s">
        <v>75</v>
      </c>
      <c r="E6" s="91" t="s">
        <v>579</v>
      </c>
      <c r="F6" s="92" t="s">
        <v>76</v>
      </c>
      <c r="G6" s="121"/>
      <c r="H6" s="433"/>
      <c r="I6" s="57" t="s">
        <v>86</v>
      </c>
      <c r="J6" s="91" t="s">
        <v>74</v>
      </c>
      <c r="K6" s="91" t="s">
        <v>75</v>
      </c>
      <c r="L6" s="91" t="s">
        <v>579</v>
      </c>
      <c r="M6" s="92" t="s">
        <v>76</v>
      </c>
      <c r="N6" s="111"/>
      <c r="O6" s="57" t="s">
        <v>86</v>
      </c>
      <c r="P6" s="91" t="s">
        <v>74</v>
      </c>
      <c r="Q6" s="91" t="s">
        <v>75</v>
      </c>
      <c r="R6" s="91" t="s">
        <v>579</v>
      </c>
      <c r="S6" s="92" t="s">
        <v>76</v>
      </c>
      <c r="T6" s="433"/>
      <c r="U6" s="433"/>
      <c r="V6" s="433"/>
      <c r="W6" s="433"/>
      <c r="X6" s="433"/>
      <c r="Y6" s="433"/>
      <c r="Z6" s="433"/>
      <c r="AA6" s="433"/>
      <c r="AB6" s="433"/>
      <c r="AC6" s="433"/>
      <c r="AD6" s="433"/>
      <c r="AE6" s="433"/>
      <c r="AF6" s="433"/>
      <c r="AG6" s="433"/>
    </row>
    <row r="7" spans="1:33">
      <c r="A7" s="89">
        <f>YEAR(B7)</f>
        <v>1989</v>
      </c>
      <c r="B7" s="69">
        <v>32660</v>
      </c>
      <c r="C7" s="312">
        <v>527</v>
      </c>
      <c r="D7" s="312">
        <f>F7-C7</f>
        <v>479</v>
      </c>
      <c r="E7" s="103">
        <f>C7/F7</f>
        <v>0.52385685884691846</v>
      </c>
      <c r="F7" s="308">
        <v>1006</v>
      </c>
      <c r="G7" s="121"/>
      <c r="I7" s="94">
        <f t="shared" ref="I7:I14" si="0">I8-1</f>
        <v>2007</v>
      </c>
      <c r="J7" s="98">
        <f t="shared" ref="J7:J16" si="1">SUMIF($A$7:$A$507,$I7,C$7:C$507)</f>
        <v>15274</v>
      </c>
      <c r="K7" s="98">
        <f>M7-J7</f>
        <v>10862</v>
      </c>
      <c r="L7" s="105">
        <f>J7/M7</f>
        <v>0.58440465258647079</v>
      </c>
      <c r="M7" s="112">
        <f t="shared" ref="M7:M16" si="2">SUMIF($A$7:$A$507,$I7,F$7:F$507)</f>
        <v>26136</v>
      </c>
      <c r="N7" s="110"/>
      <c r="O7" s="94" t="str">
        <f t="shared" ref="O7:O15" ca="1" si="3">IF($I$3="Calendar Year",CONCATENATE(I7-1,"-",I7),CONCATENATE(I7,"-",I7+1))</f>
        <v>2006-2007</v>
      </c>
      <c r="P7" s="98">
        <f ca="1">IF($I$3="Calendar Year",SUMIF($B$7:$B$507,LARGE($B$7:$B$507,39),C$7:C$553)+SUMIF($B$7:$B$507,LARGE($B$7:$B$507,40),C$7:C$553)+SUMIF($B$7:$B$507,LARGE($B$7:$B$507,41),C$7:C$553)+SUMIF($B$7:$B$507,LARGE($B$7:$B$507,42),C$7:C$553),SUMIF($B$7:$B$507,LARGE($B$7:$B$507,37),C$7:C$553)+SUMIF($B$7:$B$507,LARGE($B$7:$B$507,38),C$7:C$553)+SUMIF($B$7:$B$507,LARGE($B$7:$B$507,39),C$7:C$553)+SUMIF($B$7:$B$507,LARGE($B$7:$B$507,40),C$7:C$553))</f>
        <v>13840</v>
      </c>
      <c r="Q7" s="98">
        <f ca="1">S7-P7</f>
        <v>9781</v>
      </c>
      <c r="R7" s="105">
        <f ca="1">P7/S7</f>
        <v>0.58591930908936962</v>
      </c>
      <c r="S7" s="117">
        <f ca="1">IF($I$3="Calendar Year",SUMIF($B$7:$B$507,LARGE($B$7:$B$507,39),F$7:F$553)+SUMIF($B$7:$B$507,LARGE($B$7:$B$507,40),F$7:F$553)+SUMIF($B$7:$B$507,LARGE($B$7:$B$507,41),F$7:F$553)+SUMIF($B$7:$B$507,LARGE($B$7:$B$507,42),F$7:F$553),SUMIF($B$7:$B$507,LARGE($B$7:$B$507,37),F$7:F$553)+SUMIF($B$7:$B$507,LARGE($B$7:$B$507,38),F$7:F$553)+SUMIF($B$7:$B$507,LARGE($B$7:$B$507,39),F$7:F$553)+SUMIF($B$7:$B$507,LARGE($B$7:$B$507,40),F$7:F$553))</f>
        <v>23621</v>
      </c>
    </row>
    <row r="8" spans="1:33">
      <c r="A8" s="89">
        <f t="shared" ref="A8:A71" si="4">YEAR(B8)</f>
        <v>1989</v>
      </c>
      <c r="B8" s="69">
        <v>32752</v>
      </c>
      <c r="C8" s="311">
        <v>594</v>
      </c>
      <c r="D8" s="311">
        <f t="shared" ref="D8:D44" si="5">F8-C8</f>
        <v>452</v>
      </c>
      <c r="E8" s="102">
        <f t="shared" ref="E8:E44" si="6">C8/F8</f>
        <v>0.56787762906309747</v>
      </c>
      <c r="F8" s="307">
        <v>1046</v>
      </c>
      <c r="G8" s="121"/>
      <c r="I8" s="95">
        <f t="shared" si="0"/>
        <v>2008</v>
      </c>
      <c r="J8" s="99">
        <f t="shared" si="1"/>
        <v>21538</v>
      </c>
      <c r="K8" s="99">
        <f t="shared" ref="K8:K16" si="7">M8-J8</f>
        <v>13577</v>
      </c>
      <c r="L8" s="106">
        <f t="shared" ref="L8:L16" si="8">J8/M8</f>
        <v>0.61335611562010539</v>
      </c>
      <c r="M8" s="113">
        <f t="shared" si="2"/>
        <v>35115</v>
      </c>
      <c r="N8" s="110"/>
      <c r="O8" s="95" t="str">
        <f t="shared" ca="1" si="3"/>
        <v>2007-2008</v>
      </c>
      <c r="P8" s="99">
        <f ca="1">IF($I$3="Calendar Year",SUMIF($B$7:$B$507,LARGE($B$7:$B$507,35),C$7:C$553)+SUMIF($B$7:$B$507,LARGE($B$7:$B$507,36),C$7:C$553)+SUMIF($B$7:$B$507,LARGE($B$7:$B$507,37),C$7:C$553)+SUMIF($B$7:$B$507,LARGE($B$7:$B$507,38),C$7:C$553),SUMIF($B$7:$B$507,LARGE($B$7:$B$507,33),C$7:C$553)+SUMIF($B$7:$B$507,LARGE($B$7:$B$507,34),C$7:C$553)+SUMIF($B$7:$B$507,LARGE($B$7:$B$507,35),C$7:C$553)+SUMIF($B$7:$B$507,LARGE($B$7:$B$507,36),C$7:C$553))</f>
        <v>17350</v>
      </c>
      <c r="Q8" s="99">
        <f t="shared" ref="Q8:Q16" ca="1" si="9">S8-P8</f>
        <v>11851</v>
      </c>
      <c r="R8" s="106">
        <f t="shared" ref="R8:R16" ca="1" si="10">P8/S8</f>
        <v>0.59415773432416696</v>
      </c>
      <c r="S8" s="118">
        <f ca="1">IF($I$3="Calendar Year",SUMIF($B$7:$B$507,LARGE($B$7:$B$507,35),F$7:F$553)+SUMIF($B$7:$B$507,LARGE($B$7:$B$507,36),F$7:F$553)+SUMIF($B$7:$B$507,LARGE($B$7:$B$507,37),F$7:F$553)+SUMIF($B$7:$B$507,LARGE($B$7:$B$507,38),F$7:F$553),SUMIF($B$7:$B$507,LARGE($B$7:$B$507,33),F$7:F$553)+SUMIF($B$7:$B$507,LARGE($B$7:$B$507,34),F$7:F$553)+SUMIF($B$7:$B$507,LARGE($B$7:$B$507,35),F$7:F$553)+SUMIF($B$7:$B$507,LARGE($B$7:$B$507,36),F$7:F$553))</f>
        <v>29201</v>
      </c>
    </row>
    <row r="9" spans="1:33">
      <c r="A9" s="89">
        <f t="shared" si="4"/>
        <v>1989</v>
      </c>
      <c r="B9" s="69">
        <v>32843</v>
      </c>
      <c r="C9" s="312">
        <v>576</v>
      </c>
      <c r="D9" s="312">
        <f t="shared" si="5"/>
        <v>548</v>
      </c>
      <c r="E9" s="103">
        <f t="shared" si="6"/>
        <v>0.51245551601423489</v>
      </c>
      <c r="F9" s="308">
        <v>1124</v>
      </c>
      <c r="G9" s="121"/>
      <c r="I9" s="96">
        <f t="shared" si="0"/>
        <v>2009</v>
      </c>
      <c r="J9" s="100">
        <f t="shared" si="1"/>
        <v>21718</v>
      </c>
      <c r="K9" s="100">
        <f t="shared" si="7"/>
        <v>13932</v>
      </c>
      <c r="L9" s="107">
        <f t="shared" si="8"/>
        <v>0.60920056100981768</v>
      </c>
      <c r="M9" s="114">
        <f t="shared" si="2"/>
        <v>35650</v>
      </c>
      <c r="N9" s="110"/>
      <c r="O9" s="96" t="str">
        <f t="shared" ca="1" si="3"/>
        <v>2008-2009</v>
      </c>
      <c r="P9" s="100">
        <f ca="1">IF($I$3="Calendar Year",SUMIF($B$7:$B$507,LARGE($B$7:$B$507,31),C$7:C$553)+SUMIF($B$7:$B$507,LARGE($B$7:$B$507,32),C$7:C$553)+SUMIF($B$7:$B$507,LARGE($B$7:$B$507,33),C$7:C$553)+SUMIF($B$7:$B$507,LARGE($B$7:$B$507,34),C$7:C$553),SUMIF($B$7:$B$507,LARGE($B$7:$B$507,29),C$7:C$553)+SUMIF($B$7:$B$507,LARGE($B$7:$B$507,30),C$7:C$553)+SUMIF($B$7:$B$507,LARGE($B$7:$B$507,31),C$7:C$553)+SUMIF($B$7:$B$507,LARGE($B$7:$B$507,32),C$7:C$553))</f>
        <v>23406</v>
      </c>
      <c r="Q9" s="100">
        <f t="shared" ca="1" si="9"/>
        <v>14571</v>
      </c>
      <c r="R9" s="107">
        <f t="shared" ca="1" si="10"/>
        <v>0.61632040445532821</v>
      </c>
      <c r="S9" s="119">
        <f ca="1">IF($I$3="Calendar Year",SUMIF($B$7:$B$507,LARGE($B$7:$B$507,31),F$7:F$553)+SUMIF($B$7:$B$507,LARGE($B$7:$B$507,32),F$7:F$553)+SUMIF($B$7:$B$507,LARGE($B$7:$B$507,33),F$7:F$553)+SUMIF($B$7:$B$507,LARGE($B$7:$B$507,34),F$7:F$553),SUMIF($B$7:$B$507,LARGE($B$7:$B$507,29),F$7:F$553)+SUMIF($B$7:$B$507,LARGE($B$7:$B$507,30),F$7:F$553)+SUMIF($B$7:$B$507,LARGE($B$7:$B$507,31),F$7:F$553)+SUMIF($B$7:$B$507,LARGE($B$7:$B$507,32),F$7:F$553))</f>
        <v>37977</v>
      </c>
    </row>
    <row r="10" spans="1:33">
      <c r="A10" s="89">
        <f t="shared" si="4"/>
        <v>1990</v>
      </c>
      <c r="B10" s="69">
        <v>32933</v>
      </c>
      <c r="C10" s="311">
        <v>465</v>
      </c>
      <c r="D10" s="311">
        <f>F10-C10</f>
        <v>431</v>
      </c>
      <c r="E10" s="102">
        <f>C10/F10</f>
        <v>0.5189732142857143</v>
      </c>
      <c r="F10" s="307">
        <v>896</v>
      </c>
      <c r="G10" s="121"/>
      <c r="I10" s="95">
        <f t="shared" si="0"/>
        <v>2010</v>
      </c>
      <c r="J10" s="99">
        <f t="shared" si="1"/>
        <v>24696</v>
      </c>
      <c r="K10" s="99">
        <f t="shared" si="7"/>
        <v>15165</v>
      </c>
      <c r="L10" s="106">
        <f t="shared" si="8"/>
        <v>0.61955294648904946</v>
      </c>
      <c r="M10" s="113">
        <f t="shared" si="2"/>
        <v>39861</v>
      </c>
      <c r="N10" s="110"/>
      <c r="O10" s="95" t="str">
        <f t="shared" ca="1" si="3"/>
        <v>2009-2010</v>
      </c>
      <c r="P10" s="99">
        <f ca="1">IF($I$3="Calendar Year",SUMIF($B$7:$B$507,LARGE($B$7:$B$507,27),C$7:C$553)+SUMIF($B$7:$B$507,LARGE($B$7:$B$507,28),C$7:C$553)+SUMIF($B$7:$B$507,LARGE($B$7:$B$507,29),C$7:C$553)+SUMIF($B$7:$B$507,LARGE($B$7:$B$507,30),C$7:C$553),SUMIF($B$7:$B$507,LARGE($B$7:$B$507,25),C$7:C$553)+SUMIF($B$7:$B$507,LARGE($B$7:$B$507,26),C$7:C$553)+SUMIF($B$7:$B$507,LARGE($B$7:$B$507,27),C$7:C$553)+SUMIF($B$7:$B$507,LARGE($B$7:$B$507,28),C$7:C$553))</f>
        <v>21928</v>
      </c>
      <c r="Q10" s="99">
        <f t="shared" ca="1" si="9"/>
        <v>13257</v>
      </c>
      <c r="R10" s="106">
        <f t="shared" ca="1" si="10"/>
        <v>0.62322012221116951</v>
      </c>
      <c r="S10" s="118">
        <f ca="1">IF($I$3="Calendar Year",SUMIF($B$7:$B$507,LARGE($B$7:$B$507,27),F$7:F$553)+SUMIF($B$7:$B$507,LARGE($B$7:$B$507,28),F$7:F$553)+SUMIF($B$7:$B$507,LARGE($B$7:$B$507,29),F$7:F$553)+SUMIF($B$7:$B$507,LARGE($B$7:$B$507,30),F$7:F$553),SUMIF($B$7:$B$507,LARGE($B$7:$B$507,25),F$7:F$553)+SUMIF($B$7:$B$507,LARGE($B$7:$B$507,26),F$7:F$553)+SUMIF($B$7:$B$507,LARGE($B$7:$B$507,27),F$7:F$553)+SUMIF($B$7:$B$507,LARGE($B$7:$B$507,28),F$7:F$553))</f>
        <v>35185</v>
      </c>
    </row>
    <row r="11" spans="1:33">
      <c r="A11" s="89">
        <f t="shared" si="4"/>
        <v>1990</v>
      </c>
      <c r="B11" s="69">
        <v>33025</v>
      </c>
      <c r="C11" s="312">
        <v>469</v>
      </c>
      <c r="D11" s="312">
        <f>F11-C11</f>
        <v>570</v>
      </c>
      <c r="E11" s="103">
        <f>C11/F11</f>
        <v>0.45139557266602504</v>
      </c>
      <c r="F11" s="308">
        <v>1039</v>
      </c>
      <c r="G11" s="121"/>
      <c r="I11" s="96">
        <f t="shared" si="0"/>
        <v>2011</v>
      </c>
      <c r="J11" s="100">
        <f t="shared" si="1"/>
        <v>35031</v>
      </c>
      <c r="K11" s="100">
        <f t="shared" si="7"/>
        <v>27091</v>
      </c>
      <c r="L11" s="107">
        <f t="shared" si="8"/>
        <v>0.56390650655162422</v>
      </c>
      <c r="M11" s="114">
        <f t="shared" si="2"/>
        <v>62122</v>
      </c>
      <c r="N11" s="110"/>
      <c r="O11" s="96" t="str">
        <f t="shared" ca="1" si="3"/>
        <v>2010-2011</v>
      </c>
      <c r="P11" s="100">
        <f ca="1">IF($I$3="Calendar Year",SUMIF($B$7:$B$507,LARGE($B$7:$B$507,23),C$7:C$553)+SUMIF($B$7:$B$507,LARGE($B$7:$B$507,24),C$7:C$553)+SUMIF($B$7:$B$507,LARGE($B$7:$B$507,25),C$7:C$553)+SUMIF($B$7:$B$507,LARGE($B$7:$B$507,26),C$7:C$553),SUMIF($B$7:$B$507,LARGE($B$7:$B$507,21),C$7:C$553)+SUMIF($B$7:$B$507,LARGE($B$7:$B$507,22),C$7:C$553)+SUMIF($B$7:$B$507,LARGE($B$7:$B$507,23),C$7:C$553)+SUMIF($B$7:$B$507,LARGE($B$7:$B$507,24),C$7:C$553))</f>
        <v>28293</v>
      </c>
      <c r="Q11" s="100">
        <f t="shared" ca="1" si="9"/>
        <v>18554</v>
      </c>
      <c r="R11" s="107">
        <f t="shared" ca="1" si="10"/>
        <v>0.60394475633445044</v>
      </c>
      <c r="S11" s="119">
        <f ca="1">IF($I$3="Calendar Year",SUMIF($B$7:$B$507,LARGE($B$7:$B$507,23),F$7:F$553)+SUMIF($B$7:$B$507,LARGE($B$7:$B$507,24),F$7:F$553)+SUMIF($B$7:$B$507,LARGE($B$7:$B$507,25),F$7:F$553)+SUMIF($B$7:$B$507,LARGE($B$7:$B$507,26),F$7:F$553),SUMIF($B$7:$B$507,LARGE($B$7:$B$507,21),F$7:F$553)+SUMIF($B$7:$B$507,LARGE($B$7:$B$507,22),F$7:F$553)+SUMIF($B$7:$B$507,LARGE($B$7:$B$507,23),F$7:F$553)+SUMIF($B$7:$B$507,LARGE($B$7:$B$507,24),F$7:F$553))</f>
        <v>46847</v>
      </c>
    </row>
    <row r="12" spans="1:33">
      <c r="A12" s="89">
        <f t="shared" si="4"/>
        <v>1990</v>
      </c>
      <c r="B12" s="69">
        <v>33117</v>
      </c>
      <c r="C12" s="311">
        <v>513</v>
      </c>
      <c r="D12" s="311">
        <f>F12-C12</f>
        <v>631</v>
      </c>
      <c r="E12" s="102">
        <f>C12/F12</f>
        <v>0.44842657342657344</v>
      </c>
      <c r="F12" s="307">
        <v>1144</v>
      </c>
      <c r="G12" s="121"/>
      <c r="I12" s="95">
        <f t="shared" si="0"/>
        <v>2012</v>
      </c>
      <c r="J12" s="99">
        <f t="shared" si="1"/>
        <v>51040</v>
      </c>
      <c r="K12" s="99">
        <f t="shared" si="7"/>
        <v>43440</v>
      </c>
      <c r="L12" s="106">
        <f t="shared" si="8"/>
        <v>0.5402201524132092</v>
      </c>
      <c r="M12" s="113">
        <f t="shared" si="2"/>
        <v>94480</v>
      </c>
      <c r="N12" s="110"/>
      <c r="O12" s="95" t="str">
        <f t="shared" ca="1" si="3"/>
        <v>2011-2012</v>
      </c>
      <c r="P12" s="99">
        <f ca="1">IF($I$3="Calendar Year",SUMIF($B$7:$B$507,LARGE($B$7:$B$507,19),C$7:C$553)+SUMIF($B$7:$B$507,LARGE($B$7:$B$507,20),C$7:C$553)+SUMIF($B$7:$B$507,LARGE($B$7:$B$507,21),C$7:C$553)+SUMIF($B$7:$B$507,LARGE($B$7:$B$507,22),C$7:C$553),SUMIF($B$7:$B$507,LARGE($B$7:$B$507,17),C$7:C$553)+SUMIF($B$7:$B$507,LARGE($B$7:$B$507,18),C$7:C$553)+SUMIF($B$7:$B$507,LARGE($B$7:$B$507,19),C$7:C$553)+SUMIF($B$7:$B$507,LARGE($B$7:$B$507,20),C$7:C$553))</f>
        <v>45071</v>
      </c>
      <c r="Q12" s="99">
        <f t="shared" ca="1" si="9"/>
        <v>36926</v>
      </c>
      <c r="R12" s="106">
        <f t="shared" ca="1" si="10"/>
        <v>0.54966645121162971</v>
      </c>
      <c r="S12" s="118">
        <f ca="1">IF($I$3="Calendar Year",SUMIF($B$7:$B$507,LARGE($B$7:$B$507,19),F$7:F$553)+SUMIF($B$7:$B$507,LARGE($B$7:$B$507,20),F$7:F$553)+SUMIF($B$7:$B$507,LARGE($B$7:$B$507,21),F$7:F$553)+SUMIF($B$7:$B$507,LARGE($B$7:$B$507,22),F$7:F$553),SUMIF($B$7:$B$507,LARGE($B$7:$B$507,17),F$7:F$553)+SUMIF($B$7:$B$507,LARGE($B$7:$B$507,18),F$7:F$553)+SUMIF($B$7:$B$507,LARGE($B$7:$B$507,19),F$7:F$553)+SUMIF($B$7:$B$507,LARGE($B$7:$B$507,20),F$7:F$553))</f>
        <v>81997</v>
      </c>
    </row>
    <row r="13" spans="1:33">
      <c r="A13" s="89">
        <f t="shared" si="4"/>
        <v>1990</v>
      </c>
      <c r="B13" s="69">
        <v>33208</v>
      </c>
      <c r="C13" s="312">
        <v>490</v>
      </c>
      <c r="D13" s="312">
        <f t="shared" si="5"/>
        <v>770</v>
      </c>
      <c r="E13" s="103">
        <f t="shared" si="6"/>
        <v>0.3888888888888889</v>
      </c>
      <c r="F13" s="308">
        <v>1260</v>
      </c>
      <c r="G13" s="121"/>
      <c r="I13" s="96">
        <f t="shared" si="0"/>
        <v>2013</v>
      </c>
      <c r="J13" s="100">
        <f t="shared" si="1"/>
        <v>46786</v>
      </c>
      <c r="K13" s="100">
        <f t="shared" si="7"/>
        <v>47112</v>
      </c>
      <c r="L13" s="107">
        <f t="shared" si="8"/>
        <v>0.49826407378218918</v>
      </c>
      <c r="M13" s="114">
        <f t="shared" si="2"/>
        <v>93898</v>
      </c>
      <c r="N13" s="110"/>
      <c r="O13" s="96" t="str">
        <f t="shared" ca="1" si="3"/>
        <v>2012-2013</v>
      </c>
      <c r="P13" s="100">
        <f ca="1">IF($I$3="Calendar Year",SUMIF($B$7:$B$507,LARGE($B$7:$B$507,15),C$7:C$553)+SUMIF($B$7:$B$507,LARGE($B$7:$B$507,16),C$7:C$553)+SUMIF($B$7:$B$507,LARGE($B$7:$B$507,17),C$7:C$553)+SUMIF($B$7:$B$507,LARGE($B$7:$B$507,18),C$7:C$553),SUMIF($B$7:$B$507,LARGE($B$7:$B$507,13),C$7:C$553)+SUMIF($B$7:$B$507,LARGE($B$7:$B$507,14),C$7:C$553)+SUMIF($B$7:$B$507,LARGE($B$7:$B$507,15),C$7:C$553)+SUMIF($B$7:$B$507,LARGE($B$7:$B$507,16),C$7:C$553))</f>
        <v>48200</v>
      </c>
      <c r="Q13" s="100">
        <f t="shared" ca="1" si="9"/>
        <v>46509</v>
      </c>
      <c r="R13" s="107">
        <f t="shared" ca="1" si="10"/>
        <v>0.50892734586998067</v>
      </c>
      <c r="S13" s="119">
        <f ca="1">IF($I$3="Calendar Year",SUMIF($B$7:$B$507,LARGE($B$7:$B$507,15),F$7:F$553)+SUMIF($B$7:$B$507,LARGE($B$7:$B$507,16),F$7:F$553)+SUMIF($B$7:$B$507,LARGE($B$7:$B$507,17),F$7:F$553)+SUMIF($B$7:$B$507,LARGE($B$7:$B$507,18),F$7:F$553),SUMIF($B$7:$B$507,LARGE($B$7:$B$507,13),F$7:F$553)+SUMIF($B$7:$B$507,LARGE($B$7:$B$507,14),F$7:F$553)+SUMIF($B$7:$B$507,LARGE($B$7:$B$507,15),F$7:F$553)+SUMIF($B$7:$B$507,LARGE($B$7:$B$507,16),F$7:F$553))</f>
        <v>94709</v>
      </c>
    </row>
    <row r="14" spans="1:33">
      <c r="A14" s="89">
        <f t="shared" si="4"/>
        <v>1991</v>
      </c>
      <c r="B14" s="69">
        <v>33298</v>
      </c>
      <c r="C14" s="311">
        <v>457</v>
      </c>
      <c r="D14" s="311">
        <f t="shared" si="5"/>
        <v>612</v>
      </c>
      <c r="E14" s="102">
        <f t="shared" si="6"/>
        <v>0.42750233863423759</v>
      </c>
      <c r="F14" s="307">
        <v>1069</v>
      </c>
      <c r="G14" s="121"/>
      <c r="I14" s="95">
        <f t="shared" si="0"/>
        <v>2014</v>
      </c>
      <c r="J14" s="99">
        <f t="shared" si="1"/>
        <v>46211</v>
      </c>
      <c r="K14" s="99">
        <f t="shared" si="7"/>
        <v>37335</v>
      </c>
      <c r="L14" s="106">
        <f t="shared" si="8"/>
        <v>0.55312043664568022</v>
      </c>
      <c r="M14" s="113">
        <f t="shared" si="2"/>
        <v>83546</v>
      </c>
      <c r="N14" s="110"/>
      <c r="O14" s="95" t="str">
        <f t="shared" ca="1" si="3"/>
        <v>2013-2014</v>
      </c>
      <c r="P14" s="99">
        <f ca="1">IF($I$3="Calendar Year",SUMIF($B$7:$B$507,LARGE($B$7:$B$507,11),C$7:C$553)+SUMIF($B$7:$B$507,LARGE($B$7:$B$507,12),C$7:C$553)+SUMIF($B$7:$B$507,LARGE($B$7:$B$507,13),C$7:C$553)+SUMIF($B$7:$B$507,LARGE($B$7:$B$507,14),C$7:C$553),SUMIF($B$7:$B$507,LARGE($B$7:$B$507,9),C$7:C$553)+SUMIF($B$7:$B$507,LARGE($B$7:$B$507,10),C$7:C$553)+SUMIF($B$7:$B$507,LARGE($B$7:$B$507,11),C$7:C$553)+SUMIF($B$7:$B$507,LARGE($B$7:$B$507,12),C$7:C$553))</f>
        <v>46759</v>
      </c>
      <c r="Q14" s="99">
        <f t="shared" ca="1" si="9"/>
        <v>43633</v>
      </c>
      <c r="R14" s="106">
        <f t="shared" ca="1" si="10"/>
        <v>0.51729135321709885</v>
      </c>
      <c r="S14" s="118">
        <f ca="1">IF($I$3="Calendar Year",SUMIF($B$7:$B$507,LARGE($B$7:$B$507,11),F$7:F$553)+SUMIF($B$7:$B$507,LARGE($B$7:$B$507,12),F$7:F$553)+SUMIF($B$7:$B$507,LARGE($B$7:$B$507,13),F$7:F$553)+SUMIF($B$7:$B$507,LARGE($B$7:$B$507,14),F$7:F$553),SUMIF($B$7:$B$507,LARGE($B$7:$B$507,9),F$7:F$553)+SUMIF($B$7:$B$507,LARGE($B$7:$B$507,10),F$7:F$553)+SUMIF($B$7:$B$507,LARGE($B$7:$B$507,11),F$7:F$553)+SUMIF($B$7:$B$507,LARGE($B$7:$B$507,12),F$7:F$553))</f>
        <v>90392</v>
      </c>
    </row>
    <row r="15" spans="1:33">
      <c r="A15" s="89">
        <f t="shared" si="4"/>
        <v>1991</v>
      </c>
      <c r="B15" s="69">
        <v>33390</v>
      </c>
      <c r="C15" s="312">
        <v>473</v>
      </c>
      <c r="D15" s="312">
        <f t="shared" si="5"/>
        <v>677</v>
      </c>
      <c r="E15" s="103">
        <f t="shared" si="6"/>
        <v>0.41130434782608694</v>
      </c>
      <c r="F15" s="308">
        <v>1150</v>
      </c>
      <c r="G15" s="121"/>
      <c r="I15" s="96">
        <f>I16-1</f>
        <v>2015</v>
      </c>
      <c r="J15" s="100">
        <f t="shared" si="1"/>
        <v>42384</v>
      </c>
      <c r="K15" s="100">
        <f t="shared" si="7"/>
        <v>22784</v>
      </c>
      <c r="L15" s="107">
        <f t="shared" si="8"/>
        <v>0.65038055487355761</v>
      </c>
      <c r="M15" s="114">
        <f t="shared" si="2"/>
        <v>65168</v>
      </c>
      <c r="N15" s="110"/>
      <c r="O15" s="96" t="str">
        <f t="shared" ca="1" si="3"/>
        <v>2014-2015</v>
      </c>
      <c r="P15" s="100">
        <f ca="1">IF($I$3="Calendar Year",SUMIF($B$7:$B$507,LARGE($B$7:$B$507,7),C$7:C$553)+SUMIF($B$7:$B$507,LARGE($B$7:$B$507,8),C$7:C$553)+SUMIF($B$7:$B$507,LARGE($B$7:$B$507,9),C$7:C$553)+SUMIF($B$7:$B$507,LARGE($B$7:$B$507,10),C$7:C$553),SUMIF($B$7:$B$507,LARGE($B$7:$B$507,5),C$7:C$553)+SUMIF($B$7:$B$507,LARGE($B$7:$B$507,6),C$7:C$553)+SUMIF($B$7:$B$507,LARGE($B$7:$B$507,7),C$7:C$553)+SUMIF($B$7:$B$507,LARGE($B$7:$B$507,8),C$7:C$553))</f>
        <v>45990</v>
      </c>
      <c r="Q15" s="100">
        <f t="shared" ca="1" si="9"/>
        <v>30127</v>
      </c>
      <c r="R15" s="107">
        <f t="shared" ca="1" si="10"/>
        <v>0.60420142675092292</v>
      </c>
      <c r="S15" s="119">
        <f ca="1">IF($I$3="Calendar Year",SUMIF($B$7:$B$507,LARGE($B$7:$B$507,7),F$7:F$553)+SUMIF($B$7:$B$507,LARGE($B$7:$B$507,8),F$7:F$553)+SUMIF($B$7:$B$507,LARGE($B$7:$B$507,9),F$7:F$553)+SUMIF($B$7:$B$507,LARGE($B$7:$B$507,10),F$7:F$553),SUMIF($B$7:$B$507,LARGE($B$7:$B$507,5),F$7:F$553)+SUMIF($B$7:$B$507,LARGE($B$7:$B$507,6),F$7:F$553)+SUMIF($B$7:$B$507,LARGE($B$7:$B$507,7),F$7:F$553)+SUMIF($B$7:$B$507,LARGE($B$7:$B$507,8),F$7:F$553))</f>
        <v>76117</v>
      </c>
    </row>
    <row r="16" spans="1:33" ht="15.75" thickBot="1">
      <c r="A16" s="89">
        <f t="shared" si="4"/>
        <v>1991</v>
      </c>
      <c r="B16" s="69">
        <v>33482</v>
      </c>
      <c r="C16" s="311">
        <v>444</v>
      </c>
      <c r="D16" s="311">
        <f t="shared" si="5"/>
        <v>596</v>
      </c>
      <c r="E16" s="102">
        <f t="shared" si="6"/>
        <v>0.42692307692307691</v>
      </c>
      <c r="F16" s="307">
        <v>1040</v>
      </c>
      <c r="G16" s="121"/>
      <c r="I16" s="97">
        <f>MAX(A7:A507)</f>
        <v>2016</v>
      </c>
      <c r="J16" s="101">
        <f t="shared" si="1"/>
        <v>26865</v>
      </c>
      <c r="K16" s="101">
        <f t="shared" si="7"/>
        <v>15756</v>
      </c>
      <c r="L16" s="108">
        <f t="shared" si="8"/>
        <v>0.63032308017174632</v>
      </c>
      <c r="M16" s="115">
        <f t="shared" si="2"/>
        <v>42621</v>
      </c>
      <c r="N16" s="110"/>
      <c r="O16" s="97" t="str">
        <f ca="1">IF($I$3="Calendar Year",CONCATENATE(I16-1,"-",I16),CONCATENATE(I16,"-",I16+1))</f>
        <v>2015-2016</v>
      </c>
      <c r="P16" s="532">
        <f ca="1">IF($I$3="Calendar Year",SUMIF($B$7:$B$507,LARGE($B$7:$B$507,3),C$7:C$553)+SUMIF($B$7:$B$507,LARGE($B$7:$B$507,4),C$7:C$553)+SUMIF($B$7:$B$507,LARGE($B$7:$B$507,5),C$7:C$553)+SUMIF($B$7:$B$507,LARGE($B$7:$B$507,6),C$7:C$553),SUMIF($B$7:$B$507,LARGE($B$7:$B$507,1),C$7:C$553)+SUMIF($B$7:$B$507,LARGE($B$7:$B$507,2),C$7:C$553)+SUMIF($B$7:$B$507,LARGE($B$7:$B$507,3),C$7:C$553)+SUMIF($B$7:$B$507,LARGE($B$7:$B$507,4),C$7:C$553))</f>
        <v>35211</v>
      </c>
      <c r="Q16" s="532">
        <f t="shared" ca="1" si="9"/>
        <v>18178</v>
      </c>
      <c r="R16" s="533">
        <f t="shared" ca="1" si="10"/>
        <v>0.6595178782146135</v>
      </c>
      <c r="S16" s="534">
        <f ca="1">IF($I$3="Calendar Year",SUMIF($B$7:$B$507,LARGE($B$7:$B$507,3),F$7:F$553)+SUMIF($B$7:$B$507,LARGE($B$7:$B$507,4),F$7:F$553)+SUMIF($B$7:$B$507,LARGE($B$7:$B$507,5),F$7:F$553)+SUMIF($B$7:$B$507,LARGE($B$7:$B$507,6),F$7:F$553),SUMIF($B$7:$B$507,LARGE($B$7:$B$507,1),F$7:F$553)+SUMIF($B$7:$B$507,LARGE($B$7:$B$507,2),F$7:F$553)+SUMIF($B$7:$B$507,LARGE($B$7:$B$507,3),F$7:F$553)+SUMIF($B$7:$B$507,LARGE($B$7:$B$507,4),F$7:F$553))</f>
        <v>53389</v>
      </c>
    </row>
    <row r="17" spans="1:10">
      <c r="A17" s="89">
        <f t="shared" si="4"/>
        <v>1991</v>
      </c>
      <c r="B17" s="69">
        <v>33573</v>
      </c>
      <c r="C17" s="312">
        <v>506</v>
      </c>
      <c r="D17" s="312">
        <f t="shared" si="5"/>
        <v>640</v>
      </c>
      <c r="E17" s="103">
        <f t="shared" si="6"/>
        <v>0.44153577661431065</v>
      </c>
      <c r="F17" s="308">
        <v>1146</v>
      </c>
      <c r="G17" s="121"/>
    </row>
    <row r="18" spans="1:10">
      <c r="A18" s="89">
        <f t="shared" si="4"/>
        <v>1992</v>
      </c>
      <c r="B18" s="69">
        <v>33664</v>
      </c>
      <c r="C18" s="311">
        <v>428</v>
      </c>
      <c r="D18" s="311">
        <f t="shared" si="5"/>
        <v>465</v>
      </c>
      <c r="E18" s="102">
        <f t="shared" si="6"/>
        <v>0.47928331466965285</v>
      </c>
      <c r="F18" s="307">
        <v>893</v>
      </c>
      <c r="G18" s="121"/>
    </row>
    <row r="19" spans="1:10">
      <c r="A19" s="89">
        <f t="shared" si="4"/>
        <v>1992</v>
      </c>
      <c r="B19" s="69">
        <v>33756</v>
      </c>
      <c r="C19" s="312">
        <v>556</v>
      </c>
      <c r="D19" s="312">
        <f t="shared" si="5"/>
        <v>632</v>
      </c>
      <c r="E19" s="103">
        <f t="shared" si="6"/>
        <v>0.46801346801346799</v>
      </c>
      <c r="F19" s="308">
        <v>1188</v>
      </c>
      <c r="G19" s="121"/>
    </row>
    <row r="20" spans="1:10">
      <c r="A20" s="89">
        <f t="shared" si="4"/>
        <v>1992</v>
      </c>
      <c r="B20" s="69">
        <v>33848</v>
      </c>
      <c r="C20" s="311">
        <v>672</v>
      </c>
      <c r="D20" s="311">
        <f t="shared" si="5"/>
        <v>593</v>
      </c>
      <c r="E20" s="102">
        <f t="shared" si="6"/>
        <v>0.53122529644268779</v>
      </c>
      <c r="F20" s="307">
        <v>1265</v>
      </c>
      <c r="G20" s="121"/>
    </row>
    <row r="21" spans="1:10">
      <c r="A21" s="89">
        <f t="shared" si="4"/>
        <v>1992</v>
      </c>
      <c r="B21" s="69">
        <v>33939</v>
      </c>
      <c r="C21" s="312">
        <v>840</v>
      </c>
      <c r="D21" s="312">
        <f t="shared" si="5"/>
        <v>602</v>
      </c>
      <c r="E21" s="103">
        <f t="shared" si="6"/>
        <v>0.58252427184466016</v>
      </c>
      <c r="F21" s="308">
        <v>1442</v>
      </c>
      <c r="G21" s="121"/>
    </row>
    <row r="22" spans="1:10">
      <c r="A22" s="89">
        <f t="shared" si="4"/>
        <v>1993</v>
      </c>
      <c r="B22" s="69">
        <v>34029</v>
      </c>
      <c r="C22" s="311">
        <v>732</v>
      </c>
      <c r="D22" s="311">
        <f t="shared" si="5"/>
        <v>574</v>
      </c>
      <c r="E22" s="102">
        <f t="shared" si="6"/>
        <v>0.56049004594180707</v>
      </c>
      <c r="F22" s="307">
        <v>1306</v>
      </c>
      <c r="G22" s="121"/>
    </row>
    <row r="23" spans="1:10">
      <c r="A23" s="89">
        <f t="shared" si="4"/>
        <v>1993</v>
      </c>
      <c r="B23" s="69">
        <v>34121</v>
      </c>
      <c r="C23" s="312">
        <v>800</v>
      </c>
      <c r="D23" s="312">
        <f t="shared" si="5"/>
        <v>735</v>
      </c>
      <c r="E23" s="103">
        <f t="shared" si="6"/>
        <v>0.52117263843648209</v>
      </c>
      <c r="F23" s="308">
        <v>1535</v>
      </c>
      <c r="G23" s="121"/>
    </row>
    <row r="24" spans="1:10">
      <c r="A24" s="89">
        <f t="shared" si="4"/>
        <v>1993</v>
      </c>
      <c r="B24" s="69">
        <v>34213</v>
      </c>
      <c r="C24" s="311">
        <v>763</v>
      </c>
      <c r="D24" s="311">
        <f t="shared" si="5"/>
        <v>582</v>
      </c>
      <c r="E24" s="102">
        <f t="shared" si="6"/>
        <v>0.56728624535315986</v>
      </c>
      <c r="F24" s="307">
        <v>1345</v>
      </c>
      <c r="G24" s="121"/>
    </row>
    <row r="25" spans="1:10">
      <c r="A25" s="89">
        <f t="shared" si="4"/>
        <v>1993</v>
      </c>
      <c r="B25" s="69">
        <v>34304</v>
      </c>
      <c r="C25" s="312">
        <v>980</v>
      </c>
      <c r="D25" s="312">
        <f t="shared" si="5"/>
        <v>637</v>
      </c>
      <c r="E25" s="103">
        <f t="shared" si="6"/>
        <v>0.60606060606060608</v>
      </c>
      <c r="F25" s="308">
        <v>1617</v>
      </c>
      <c r="G25" s="121"/>
    </row>
    <row r="26" spans="1:10">
      <c r="A26" s="89">
        <f t="shared" si="4"/>
        <v>1994</v>
      </c>
      <c r="B26" s="69">
        <v>34394</v>
      </c>
      <c r="C26" s="311">
        <v>671</v>
      </c>
      <c r="D26" s="311">
        <f t="shared" si="5"/>
        <v>606</v>
      </c>
      <c r="E26" s="102">
        <f t="shared" si="6"/>
        <v>0.52545027407987466</v>
      </c>
      <c r="F26" s="307">
        <v>1277</v>
      </c>
      <c r="G26" s="121"/>
      <c r="J26" s="89"/>
    </row>
    <row r="27" spans="1:10">
      <c r="A27" s="89">
        <f t="shared" si="4"/>
        <v>1994</v>
      </c>
      <c r="B27" s="69">
        <v>34486</v>
      </c>
      <c r="C27" s="312">
        <v>772</v>
      </c>
      <c r="D27" s="312">
        <f t="shared" si="5"/>
        <v>640</v>
      </c>
      <c r="E27" s="103">
        <f t="shared" si="6"/>
        <v>0.54674220963172804</v>
      </c>
      <c r="F27" s="308">
        <v>1412</v>
      </c>
      <c r="G27" s="121"/>
    </row>
    <row r="28" spans="1:10">
      <c r="A28" s="89">
        <f t="shared" si="4"/>
        <v>1994</v>
      </c>
      <c r="B28" s="69">
        <v>34578</v>
      </c>
      <c r="C28" s="311">
        <v>662</v>
      </c>
      <c r="D28" s="311">
        <f t="shared" si="5"/>
        <v>668</v>
      </c>
      <c r="E28" s="102">
        <f t="shared" si="6"/>
        <v>0.49774436090225566</v>
      </c>
      <c r="F28" s="307">
        <v>1330</v>
      </c>
      <c r="G28" s="121"/>
    </row>
    <row r="29" spans="1:10">
      <c r="A29" s="89">
        <f t="shared" si="4"/>
        <v>1994</v>
      </c>
      <c r="B29" s="69">
        <v>34669</v>
      </c>
      <c r="C29" s="312">
        <v>1152</v>
      </c>
      <c r="D29" s="312">
        <f t="shared" si="5"/>
        <v>719</v>
      </c>
      <c r="E29" s="103">
        <f t="shared" si="6"/>
        <v>0.61571352218065201</v>
      </c>
      <c r="F29" s="308">
        <v>1871</v>
      </c>
      <c r="G29" s="121"/>
    </row>
    <row r="30" spans="1:10">
      <c r="A30" s="89">
        <f t="shared" si="4"/>
        <v>1995</v>
      </c>
      <c r="B30" s="69">
        <v>34759</v>
      </c>
      <c r="C30" s="311">
        <v>989</v>
      </c>
      <c r="D30" s="311">
        <f t="shared" si="5"/>
        <v>558</v>
      </c>
      <c r="E30" s="102">
        <f t="shared" si="6"/>
        <v>0.63930187459599219</v>
      </c>
      <c r="F30" s="307">
        <v>1547</v>
      </c>
      <c r="G30" s="121"/>
    </row>
    <row r="31" spans="1:10">
      <c r="A31" s="89">
        <f t="shared" si="4"/>
        <v>1995</v>
      </c>
      <c r="B31" s="69">
        <v>34851</v>
      </c>
      <c r="C31" s="312">
        <v>859</v>
      </c>
      <c r="D31" s="312">
        <f t="shared" si="5"/>
        <v>831</v>
      </c>
      <c r="E31" s="103">
        <f t="shared" si="6"/>
        <v>0.50828402366863901</v>
      </c>
      <c r="F31" s="308">
        <v>1690</v>
      </c>
      <c r="G31" s="121"/>
    </row>
    <row r="32" spans="1:10">
      <c r="A32" s="89">
        <f t="shared" si="4"/>
        <v>1995</v>
      </c>
      <c r="B32" s="69">
        <v>34943</v>
      </c>
      <c r="C32" s="311">
        <v>976</v>
      </c>
      <c r="D32" s="311">
        <f t="shared" si="5"/>
        <v>695</v>
      </c>
      <c r="E32" s="102">
        <f t="shared" si="6"/>
        <v>0.58408138839018553</v>
      </c>
      <c r="F32" s="307">
        <v>1671</v>
      </c>
      <c r="G32" s="121"/>
    </row>
    <row r="33" spans="1:13">
      <c r="A33" s="89">
        <f t="shared" si="4"/>
        <v>1995</v>
      </c>
      <c r="B33" s="69">
        <v>35034</v>
      </c>
      <c r="C33" s="312">
        <v>1205</v>
      </c>
      <c r="D33" s="312">
        <f t="shared" si="5"/>
        <v>806</v>
      </c>
      <c r="E33" s="103">
        <f t="shared" si="6"/>
        <v>0.59920437593237197</v>
      </c>
      <c r="F33" s="308">
        <v>2011</v>
      </c>
      <c r="G33" s="121"/>
    </row>
    <row r="34" spans="1:13">
      <c r="A34" s="89">
        <f t="shared" si="4"/>
        <v>1996</v>
      </c>
      <c r="B34" s="69">
        <v>35125</v>
      </c>
      <c r="C34" s="311">
        <v>901</v>
      </c>
      <c r="D34" s="311">
        <f t="shared" si="5"/>
        <v>813</v>
      </c>
      <c r="E34" s="102">
        <f t="shared" si="6"/>
        <v>0.52567094515752621</v>
      </c>
      <c r="F34" s="307">
        <v>1714</v>
      </c>
      <c r="G34" s="121"/>
    </row>
    <row r="35" spans="1:13">
      <c r="A35" s="89">
        <f t="shared" si="4"/>
        <v>1996</v>
      </c>
      <c r="B35" s="69">
        <v>35217</v>
      </c>
      <c r="C35" s="312">
        <v>1079</v>
      </c>
      <c r="D35" s="312">
        <f t="shared" si="5"/>
        <v>1191</v>
      </c>
      <c r="E35" s="103">
        <f t="shared" si="6"/>
        <v>0.47533039647577091</v>
      </c>
      <c r="F35" s="308">
        <v>2270</v>
      </c>
      <c r="G35" s="121"/>
    </row>
    <row r="36" spans="1:13">
      <c r="A36" s="89">
        <f t="shared" si="4"/>
        <v>1996</v>
      </c>
      <c r="B36" s="69">
        <v>35309</v>
      </c>
      <c r="C36" s="311">
        <v>815</v>
      </c>
      <c r="D36" s="311">
        <f t="shared" si="5"/>
        <v>1194</v>
      </c>
      <c r="E36" s="102">
        <f t="shared" si="6"/>
        <v>0.40567446490791437</v>
      </c>
      <c r="F36" s="307">
        <v>2009</v>
      </c>
      <c r="G36" s="122"/>
    </row>
    <row r="37" spans="1:13">
      <c r="A37" s="89">
        <f t="shared" si="4"/>
        <v>1996</v>
      </c>
      <c r="B37" s="69">
        <v>35400</v>
      </c>
      <c r="C37" s="312">
        <v>983</v>
      </c>
      <c r="D37" s="312">
        <f t="shared" si="5"/>
        <v>1375</v>
      </c>
      <c r="E37" s="103">
        <f t="shared" si="6"/>
        <v>0.41687871077184052</v>
      </c>
      <c r="F37" s="308">
        <v>2358</v>
      </c>
      <c r="G37" s="122"/>
    </row>
    <row r="38" spans="1:13" ht="15.75" customHeight="1">
      <c r="A38" s="89">
        <f t="shared" si="4"/>
        <v>1997</v>
      </c>
      <c r="B38" s="69">
        <v>35490</v>
      </c>
      <c r="C38" s="311">
        <v>995</v>
      </c>
      <c r="D38" s="311">
        <f t="shared" si="5"/>
        <v>1241</v>
      </c>
      <c r="E38" s="102">
        <f t="shared" si="6"/>
        <v>0.44499105545617174</v>
      </c>
      <c r="F38" s="307">
        <v>2236</v>
      </c>
      <c r="G38" s="122"/>
      <c r="J38" s="638" t="s">
        <v>430</v>
      </c>
      <c r="K38" s="638"/>
      <c r="L38" s="638"/>
      <c r="M38" s="638"/>
    </row>
    <row r="39" spans="1:13">
      <c r="A39" s="89">
        <f t="shared" si="4"/>
        <v>1997</v>
      </c>
      <c r="B39" s="69">
        <v>35582</v>
      </c>
      <c r="C39" s="312">
        <v>1107</v>
      </c>
      <c r="D39" s="312">
        <f t="shared" si="5"/>
        <v>1276</v>
      </c>
      <c r="E39" s="103">
        <f t="shared" si="6"/>
        <v>0.46454049517415025</v>
      </c>
      <c r="F39" s="308">
        <v>2383</v>
      </c>
      <c r="G39" s="122"/>
      <c r="J39" s="638"/>
      <c r="K39" s="638"/>
      <c r="L39" s="638"/>
      <c r="M39" s="638"/>
    </row>
    <row r="40" spans="1:13">
      <c r="A40" s="89">
        <f t="shared" si="4"/>
        <v>1997</v>
      </c>
      <c r="B40" s="69">
        <v>35674</v>
      </c>
      <c r="C40" s="311">
        <v>1145</v>
      </c>
      <c r="D40" s="311">
        <f t="shared" si="5"/>
        <v>1417</v>
      </c>
      <c r="E40" s="102">
        <f t="shared" si="6"/>
        <v>0.44691647150663544</v>
      </c>
      <c r="F40" s="307">
        <v>2562</v>
      </c>
      <c r="G40" s="122"/>
      <c r="J40" s="638"/>
      <c r="K40" s="638"/>
      <c r="L40" s="638"/>
      <c r="M40" s="638"/>
    </row>
    <row r="41" spans="1:13">
      <c r="A41" s="89">
        <f t="shared" si="4"/>
        <v>1997</v>
      </c>
      <c r="B41" s="69">
        <v>35765</v>
      </c>
      <c r="C41" s="312">
        <v>1455</v>
      </c>
      <c r="D41" s="312">
        <f t="shared" si="5"/>
        <v>1655</v>
      </c>
      <c r="E41" s="103">
        <f t="shared" si="6"/>
        <v>0.46784565916398713</v>
      </c>
      <c r="F41" s="308">
        <v>3110</v>
      </c>
      <c r="G41" s="122"/>
      <c r="J41" s="638"/>
      <c r="K41" s="638"/>
      <c r="L41" s="638"/>
      <c r="M41" s="638"/>
    </row>
    <row r="42" spans="1:13">
      <c r="A42" s="89">
        <f t="shared" si="4"/>
        <v>1998</v>
      </c>
      <c r="B42" s="69">
        <v>35855</v>
      </c>
      <c r="C42" s="311">
        <v>1439</v>
      </c>
      <c r="D42" s="311">
        <f t="shared" si="5"/>
        <v>1207</v>
      </c>
      <c r="E42" s="102">
        <f t="shared" si="6"/>
        <v>0.54383975812547236</v>
      </c>
      <c r="F42" s="307">
        <v>2646</v>
      </c>
      <c r="G42" s="122"/>
      <c r="J42" s="638"/>
      <c r="K42" s="638"/>
      <c r="L42" s="638"/>
      <c r="M42" s="638"/>
    </row>
    <row r="43" spans="1:13">
      <c r="A43" s="89">
        <f t="shared" si="4"/>
        <v>1998</v>
      </c>
      <c r="B43" s="69">
        <v>35947</v>
      </c>
      <c r="C43" s="312">
        <v>1539</v>
      </c>
      <c r="D43" s="312">
        <f t="shared" si="5"/>
        <v>1503</v>
      </c>
      <c r="E43" s="103">
        <f t="shared" si="6"/>
        <v>0.50591715976331364</v>
      </c>
      <c r="F43" s="308">
        <v>3042</v>
      </c>
      <c r="G43" s="122"/>
      <c r="J43" s="638"/>
      <c r="K43" s="638"/>
      <c r="L43" s="638"/>
      <c r="M43" s="638"/>
    </row>
    <row r="44" spans="1:13">
      <c r="A44" s="89">
        <f t="shared" si="4"/>
        <v>1998</v>
      </c>
      <c r="B44" s="69">
        <v>36039</v>
      </c>
      <c r="C44" s="311">
        <v>1132</v>
      </c>
      <c r="D44" s="311">
        <f t="shared" si="5"/>
        <v>1510</v>
      </c>
      <c r="E44" s="102">
        <f t="shared" si="6"/>
        <v>0.42846328538985617</v>
      </c>
      <c r="F44" s="307">
        <v>2642</v>
      </c>
      <c r="G44" s="122"/>
      <c r="J44" s="638"/>
      <c r="K44" s="638"/>
      <c r="L44" s="638"/>
      <c r="M44" s="638"/>
    </row>
    <row r="45" spans="1:13" ht="15" customHeight="1">
      <c r="A45" s="89">
        <f t="shared" si="4"/>
        <v>1998</v>
      </c>
      <c r="B45" s="69">
        <v>36130</v>
      </c>
      <c r="C45" s="312">
        <v>736</v>
      </c>
      <c r="D45" s="312">
        <f>F45-C45</f>
        <v>1760</v>
      </c>
      <c r="E45" s="103">
        <f>C45/F45</f>
        <v>0.29487179487179488</v>
      </c>
      <c r="F45" s="308">
        <v>2496</v>
      </c>
      <c r="G45" s="122"/>
      <c r="J45" s="638"/>
      <c r="K45" s="638"/>
      <c r="L45" s="638"/>
      <c r="M45" s="638"/>
    </row>
    <row r="46" spans="1:13">
      <c r="A46" s="89">
        <f t="shared" si="4"/>
        <v>1999</v>
      </c>
      <c r="B46" s="69">
        <v>36220</v>
      </c>
      <c r="C46" s="311">
        <v>818</v>
      </c>
      <c r="D46" s="311">
        <f t="shared" ref="D46:D52" si="11">F46-C46</f>
        <v>1177</v>
      </c>
      <c r="E46" s="102">
        <f t="shared" ref="E46:E52" si="12">C46/F46</f>
        <v>0.41002506265664163</v>
      </c>
      <c r="F46" s="307">
        <v>1995</v>
      </c>
      <c r="G46" s="122"/>
      <c r="J46" s="638"/>
      <c r="K46" s="638"/>
      <c r="L46" s="638"/>
      <c r="M46" s="638"/>
    </row>
    <row r="47" spans="1:13">
      <c r="A47" s="89">
        <f t="shared" si="4"/>
        <v>1999</v>
      </c>
      <c r="B47" s="69">
        <v>36312</v>
      </c>
      <c r="C47" s="312">
        <v>681</v>
      </c>
      <c r="D47" s="312">
        <f t="shared" si="11"/>
        <v>1251</v>
      </c>
      <c r="E47" s="103">
        <f t="shared" si="12"/>
        <v>0.35248447204968947</v>
      </c>
      <c r="F47" s="308">
        <v>1932</v>
      </c>
      <c r="G47" s="122"/>
      <c r="J47" s="638"/>
      <c r="K47" s="638"/>
      <c r="L47" s="638"/>
      <c r="M47" s="638"/>
    </row>
    <row r="48" spans="1:13">
      <c r="A48" s="89">
        <f t="shared" si="4"/>
        <v>1999</v>
      </c>
      <c r="B48" s="69">
        <v>36404</v>
      </c>
      <c r="C48" s="311">
        <v>683</v>
      </c>
      <c r="D48" s="311">
        <f t="shared" si="11"/>
        <v>1238</v>
      </c>
      <c r="E48" s="102">
        <f t="shared" si="12"/>
        <v>0.35554398750650701</v>
      </c>
      <c r="F48" s="307">
        <v>1921</v>
      </c>
      <c r="G48" s="122"/>
    </row>
    <row r="49" spans="1:7">
      <c r="A49" s="89">
        <f t="shared" si="4"/>
        <v>1999</v>
      </c>
      <c r="B49" s="69">
        <v>36495</v>
      </c>
      <c r="C49" s="312">
        <v>488</v>
      </c>
      <c r="D49" s="312">
        <f t="shared" si="11"/>
        <v>861</v>
      </c>
      <c r="E49" s="103">
        <f t="shared" si="12"/>
        <v>0.36174944403261677</v>
      </c>
      <c r="F49" s="308">
        <v>1349</v>
      </c>
      <c r="G49" s="122"/>
    </row>
    <row r="50" spans="1:7">
      <c r="A50" s="89">
        <f t="shared" si="4"/>
        <v>2000</v>
      </c>
      <c r="B50" s="69">
        <v>36586</v>
      </c>
      <c r="C50" s="311">
        <v>356</v>
      </c>
      <c r="D50" s="311">
        <f t="shared" si="11"/>
        <v>699</v>
      </c>
      <c r="E50" s="102">
        <f t="shared" si="12"/>
        <v>0.33744075829383885</v>
      </c>
      <c r="F50" s="307">
        <v>1055</v>
      </c>
      <c r="G50" s="122"/>
    </row>
    <row r="51" spans="1:7">
      <c r="A51" s="89">
        <f t="shared" si="4"/>
        <v>2000</v>
      </c>
      <c r="B51" s="69">
        <v>36678</v>
      </c>
      <c r="C51" s="312">
        <v>641</v>
      </c>
      <c r="D51" s="312">
        <f t="shared" si="11"/>
        <v>706</v>
      </c>
      <c r="E51" s="103">
        <f t="shared" si="12"/>
        <v>0.47587230883444692</v>
      </c>
      <c r="F51" s="308">
        <v>1347</v>
      </c>
      <c r="G51" s="122"/>
    </row>
    <row r="52" spans="1:7">
      <c r="A52" s="89">
        <f t="shared" si="4"/>
        <v>2000</v>
      </c>
      <c r="B52" s="69">
        <v>36770</v>
      </c>
      <c r="C52" s="311">
        <v>405</v>
      </c>
      <c r="D52" s="311">
        <f t="shared" si="11"/>
        <v>715</v>
      </c>
      <c r="E52" s="102">
        <f t="shared" si="12"/>
        <v>0.36160714285714285</v>
      </c>
      <c r="F52" s="307">
        <v>1120</v>
      </c>
      <c r="G52" s="122"/>
    </row>
    <row r="53" spans="1:7">
      <c r="A53" s="89">
        <f t="shared" si="4"/>
        <v>2000</v>
      </c>
      <c r="B53" s="69">
        <v>36861</v>
      </c>
      <c r="C53" s="312">
        <v>472</v>
      </c>
      <c r="D53" s="312">
        <f>F53-C53</f>
        <v>925</v>
      </c>
      <c r="E53" s="103">
        <f>C53/F53</f>
        <v>0.33786685755189694</v>
      </c>
      <c r="F53" s="308">
        <v>1397</v>
      </c>
      <c r="G53" s="122"/>
    </row>
    <row r="54" spans="1:7">
      <c r="A54" s="89">
        <f t="shared" si="4"/>
        <v>2001</v>
      </c>
      <c r="B54" s="69">
        <v>36951</v>
      </c>
      <c r="C54" s="311">
        <v>690</v>
      </c>
      <c r="D54" s="311">
        <f t="shared" ref="D54:D115" si="13">F54-C54</f>
        <v>757</v>
      </c>
      <c r="E54" s="102">
        <f t="shared" ref="E54:E115" si="14">C54/F54</f>
        <v>0.47684865238424329</v>
      </c>
      <c r="F54" s="307">
        <v>1447</v>
      </c>
      <c r="G54" s="122"/>
    </row>
    <row r="55" spans="1:7">
      <c r="A55" s="89">
        <f t="shared" si="4"/>
        <v>2001</v>
      </c>
      <c r="B55" s="69">
        <v>37043</v>
      </c>
      <c r="C55" s="312">
        <v>778</v>
      </c>
      <c r="D55" s="312">
        <f t="shared" si="13"/>
        <v>987</v>
      </c>
      <c r="E55" s="103">
        <f t="shared" si="14"/>
        <v>0.44079320113314446</v>
      </c>
      <c r="F55" s="308">
        <v>1765</v>
      </c>
      <c r="G55" s="122"/>
    </row>
    <row r="56" spans="1:7">
      <c r="A56" s="89">
        <f t="shared" si="4"/>
        <v>2001</v>
      </c>
      <c r="B56" s="69">
        <v>37135</v>
      </c>
      <c r="C56" s="311">
        <v>805</v>
      </c>
      <c r="D56" s="311">
        <f t="shared" si="13"/>
        <v>1010</v>
      </c>
      <c r="E56" s="102">
        <f t="shared" si="14"/>
        <v>0.44352617079889806</v>
      </c>
      <c r="F56" s="307">
        <v>1815</v>
      </c>
      <c r="G56" s="122"/>
    </row>
    <row r="57" spans="1:7">
      <c r="A57" s="89">
        <f t="shared" si="4"/>
        <v>2001</v>
      </c>
      <c r="B57" s="69">
        <v>37226</v>
      </c>
      <c r="C57" s="312">
        <v>749</v>
      </c>
      <c r="D57" s="312">
        <f t="shared" si="13"/>
        <v>1234</v>
      </c>
      <c r="E57" s="103">
        <f t="shared" si="14"/>
        <v>0.37771053958648515</v>
      </c>
      <c r="F57" s="308">
        <v>1983</v>
      </c>
      <c r="G57" s="122"/>
    </row>
    <row r="58" spans="1:7">
      <c r="A58" s="89">
        <f t="shared" si="4"/>
        <v>2002</v>
      </c>
      <c r="B58" s="69">
        <v>37316</v>
      </c>
      <c r="C58" s="311">
        <v>532</v>
      </c>
      <c r="D58" s="311">
        <f t="shared" si="13"/>
        <v>1165</v>
      </c>
      <c r="E58" s="102">
        <f t="shared" si="14"/>
        <v>0.31349440188568062</v>
      </c>
      <c r="F58" s="307">
        <v>1697</v>
      </c>
      <c r="G58" s="122"/>
    </row>
    <row r="59" spans="1:7">
      <c r="A59" s="89">
        <f t="shared" si="4"/>
        <v>2002</v>
      </c>
      <c r="B59" s="69">
        <v>37408</v>
      </c>
      <c r="C59" s="312">
        <v>731</v>
      </c>
      <c r="D59" s="312">
        <f t="shared" si="13"/>
        <v>1370</v>
      </c>
      <c r="E59" s="103">
        <f t="shared" si="14"/>
        <v>0.34792955735364112</v>
      </c>
      <c r="F59" s="308">
        <v>2101</v>
      </c>
      <c r="G59" s="122"/>
    </row>
    <row r="60" spans="1:7">
      <c r="A60" s="89">
        <f t="shared" si="4"/>
        <v>2002</v>
      </c>
      <c r="B60" s="69">
        <v>37500</v>
      </c>
      <c r="C60" s="311">
        <v>707</v>
      </c>
      <c r="D60" s="311">
        <f t="shared" si="13"/>
        <v>1368</v>
      </c>
      <c r="E60" s="102">
        <f t="shared" si="14"/>
        <v>0.34072289156626506</v>
      </c>
      <c r="F60" s="307">
        <v>2075</v>
      </c>
      <c r="G60" s="122"/>
    </row>
    <row r="61" spans="1:7">
      <c r="A61" s="89">
        <f t="shared" si="4"/>
        <v>2002</v>
      </c>
      <c r="B61" s="69">
        <v>37591</v>
      </c>
      <c r="C61" s="312">
        <v>882</v>
      </c>
      <c r="D61" s="312">
        <f t="shared" si="13"/>
        <v>1632</v>
      </c>
      <c r="E61" s="103">
        <f t="shared" si="14"/>
        <v>0.35083532219570407</v>
      </c>
      <c r="F61" s="308">
        <v>2514</v>
      </c>
      <c r="G61" s="122"/>
    </row>
    <row r="62" spans="1:7">
      <c r="A62" s="89">
        <f t="shared" si="4"/>
        <v>2003</v>
      </c>
      <c r="B62" s="69">
        <v>37681</v>
      </c>
      <c r="C62" s="311">
        <v>928</v>
      </c>
      <c r="D62" s="311">
        <f t="shared" si="13"/>
        <v>1131</v>
      </c>
      <c r="E62" s="102">
        <f t="shared" si="14"/>
        <v>0.45070422535211269</v>
      </c>
      <c r="F62" s="307">
        <v>2059</v>
      </c>
      <c r="G62" s="122"/>
    </row>
    <row r="63" spans="1:7">
      <c r="A63" s="89">
        <f t="shared" si="4"/>
        <v>2003</v>
      </c>
      <c r="B63" s="69">
        <v>37773</v>
      </c>
      <c r="C63" s="312">
        <v>1093</v>
      </c>
      <c r="D63" s="312">
        <f t="shared" si="13"/>
        <v>1474</v>
      </c>
      <c r="E63" s="103">
        <f t="shared" si="14"/>
        <v>0.42578885858979354</v>
      </c>
      <c r="F63" s="308">
        <v>2567</v>
      </c>
      <c r="G63" s="122"/>
    </row>
    <row r="64" spans="1:7">
      <c r="A64" s="89">
        <f t="shared" si="4"/>
        <v>2003</v>
      </c>
      <c r="B64" s="69">
        <v>37865</v>
      </c>
      <c r="C64" s="311">
        <v>1295</v>
      </c>
      <c r="D64" s="311">
        <f t="shared" si="13"/>
        <v>1169</v>
      </c>
      <c r="E64" s="102">
        <f t="shared" si="14"/>
        <v>0.52556818181818177</v>
      </c>
      <c r="F64" s="307">
        <v>2464</v>
      </c>
      <c r="G64" s="122"/>
    </row>
    <row r="65" spans="1:7">
      <c r="A65" s="89">
        <f t="shared" si="4"/>
        <v>2003</v>
      </c>
      <c r="B65" s="69">
        <v>37956</v>
      </c>
      <c r="C65" s="312">
        <v>1364</v>
      </c>
      <c r="D65" s="312">
        <f t="shared" si="13"/>
        <v>1502</v>
      </c>
      <c r="E65" s="103">
        <f t="shared" si="14"/>
        <v>0.47592463363572923</v>
      </c>
      <c r="F65" s="308">
        <v>2866</v>
      </c>
      <c r="G65" s="122"/>
    </row>
    <row r="66" spans="1:7">
      <c r="A66" s="89">
        <f t="shared" si="4"/>
        <v>2004</v>
      </c>
      <c r="B66" s="69">
        <v>38047</v>
      </c>
      <c r="C66" s="311">
        <v>992</v>
      </c>
      <c r="D66" s="311">
        <f t="shared" si="13"/>
        <v>1106</v>
      </c>
      <c r="E66" s="102">
        <f t="shared" si="14"/>
        <v>0.47283126787416585</v>
      </c>
      <c r="F66" s="307">
        <v>2098</v>
      </c>
      <c r="G66" s="122"/>
    </row>
    <row r="67" spans="1:7">
      <c r="A67" s="89">
        <f t="shared" si="4"/>
        <v>2004</v>
      </c>
      <c r="B67" s="69">
        <v>38139</v>
      </c>
      <c r="C67" s="312">
        <v>1170</v>
      </c>
      <c r="D67" s="312">
        <f t="shared" si="13"/>
        <v>1197</v>
      </c>
      <c r="E67" s="103">
        <f t="shared" si="14"/>
        <v>0.49429657794676807</v>
      </c>
      <c r="F67" s="308">
        <v>2367</v>
      </c>
      <c r="G67" s="122"/>
    </row>
    <row r="68" spans="1:7">
      <c r="A68" s="89">
        <f t="shared" si="4"/>
        <v>2004</v>
      </c>
      <c r="B68" s="69">
        <v>38231</v>
      </c>
      <c r="C68" s="311">
        <v>1282</v>
      </c>
      <c r="D68" s="311">
        <f t="shared" si="13"/>
        <v>1231</v>
      </c>
      <c r="E68" s="102">
        <f t="shared" si="14"/>
        <v>0.51014723438121767</v>
      </c>
      <c r="F68" s="307">
        <v>2513</v>
      </c>
      <c r="G68" s="122"/>
    </row>
    <row r="69" spans="1:7">
      <c r="A69" s="89">
        <f t="shared" si="4"/>
        <v>2004</v>
      </c>
      <c r="B69" s="69">
        <v>38322</v>
      </c>
      <c r="C69" s="312">
        <v>1380</v>
      </c>
      <c r="D69" s="312">
        <f t="shared" si="13"/>
        <v>1375</v>
      </c>
      <c r="E69" s="103">
        <f t="shared" si="14"/>
        <v>0.50090744101633389</v>
      </c>
      <c r="F69" s="308">
        <v>2755</v>
      </c>
      <c r="G69" s="122"/>
    </row>
    <row r="70" spans="1:7">
      <c r="A70" s="89">
        <f t="shared" si="4"/>
        <v>2005</v>
      </c>
      <c r="B70" s="69">
        <v>38412</v>
      </c>
      <c r="C70" s="311">
        <v>1174</v>
      </c>
      <c r="D70" s="311">
        <f t="shared" si="13"/>
        <v>1188</v>
      </c>
      <c r="E70" s="102">
        <f t="shared" si="14"/>
        <v>0.49703640982218461</v>
      </c>
      <c r="F70" s="307">
        <v>2362</v>
      </c>
      <c r="G70" s="122"/>
    </row>
    <row r="71" spans="1:7">
      <c r="A71" s="89">
        <f t="shared" si="4"/>
        <v>2005</v>
      </c>
      <c r="B71" s="69">
        <v>38504</v>
      </c>
      <c r="C71" s="312">
        <v>1469</v>
      </c>
      <c r="D71" s="312">
        <f t="shared" si="13"/>
        <v>1744</v>
      </c>
      <c r="E71" s="103">
        <f t="shared" si="14"/>
        <v>0.4572051042639278</v>
      </c>
      <c r="F71" s="308">
        <v>3213</v>
      </c>
      <c r="G71" s="122"/>
    </row>
    <row r="72" spans="1:7">
      <c r="A72" s="89">
        <f t="shared" ref="A72:A135" si="15">YEAR(B72)</f>
        <v>2005</v>
      </c>
      <c r="B72" s="69">
        <v>38596</v>
      </c>
      <c r="C72" s="311">
        <v>1865</v>
      </c>
      <c r="D72" s="311">
        <f t="shared" si="13"/>
        <v>1837</v>
      </c>
      <c r="E72" s="102">
        <f t="shared" si="14"/>
        <v>0.50378173960021611</v>
      </c>
      <c r="F72" s="307">
        <v>3702</v>
      </c>
      <c r="G72" s="122"/>
    </row>
    <row r="73" spans="1:7">
      <c r="A73" s="89">
        <f t="shared" si="15"/>
        <v>2005</v>
      </c>
      <c r="B73" s="69">
        <v>38687</v>
      </c>
      <c r="C73" s="312">
        <v>2573</v>
      </c>
      <c r="D73" s="312">
        <f t="shared" si="13"/>
        <v>2393</v>
      </c>
      <c r="E73" s="103">
        <f t="shared" si="14"/>
        <v>0.518123238018526</v>
      </c>
      <c r="F73" s="308">
        <v>4966</v>
      </c>
      <c r="G73" s="122"/>
    </row>
    <row r="74" spans="1:7">
      <c r="A74" s="89">
        <f t="shared" si="15"/>
        <v>2006</v>
      </c>
      <c r="B74" s="69">
        <v>38777</v>
      </c>
      <c r="C74" s="311">
        <v>2601</v>
      </c>
      <c r="D74" s="311">
        <f t="shared" si="13"/>
        <v>2277</v>
      </c>
      <c r="E74" s="102">
        <f t="shared" si="14"/>
        <v>0.53321033210332103</v>
      </c>
      <c r="F74" s="307">
        <v>4878</v>
      </c>
      <c r="G74" s="122"/>
    </row>
    <row r="75" spans="1:7">
      <c r="A75" s="89">
        <f t="shared" si="15"/>
        <v>2006</v>
      </c>
      <c r="B75" s="69">
        <v>38869</v>
      </c>
      <c r="C75" s="312">
        <v>3699</v>
      </c>
      <c r="D75" s="312">
        <f t="shared" si="13"/>
        <v>2414</v>
      </c>
      <c r="E75" s="103">
        <f t="shared" si="14"/>
        <v>0.60510387698347778</v>
      </c>
      <c r="F75" s="308">
        <v>6113</v>
      </c>
      <c r="G75" s="122"/>
    </row>
    <row r="76" spans="1:7">
      <c r="A76" s="89">
        <f t="shared" si="15"/>
        <v>2006</v>
      </c>
      <c r="B76" s="69">
        <v>38961</v>
      </c>
      <c r="C76" s="311">
        <v>2876</v>
      </c>
      <c r="D76" s="311">
        <f t="shared" si="13"/>
        <v>2070</v>
      </c>
      <c r="E76" s="102">
        <f t="shared" si="14"/>
        <v>0.58147998382531341</v>
      </c>
      <c r="F76" s="307">
        <v>4946</v>
      </c>
      <c r="G76" s="122"/>
    </row>
    <row r="77" spans="1:7">
      <c r="A77" s="89">
        <f t="shared" si="15"/>
        <v>2006</v>
      </c>
      <c r="B77" s="69">
        <v>39052</v>
      </c>
      <c r="C77" s="312">
        <v>3675</v>
      </c>
      <c r="D77" s="312">
        <f t="shared" si="13"/>
        <v>2564</v>
      </c>
      <c r="E77" s="103">
        <f t="shared" si="14"/>
        <v>0.58903670460009616</v>
      </c>
      <c r="F77" s="308">
        <v>6239</v>
      </c>
      <c r="G77" s="122"/>
    </row>
    <row r="78" spans="1:7">
      <c r="A78" s="89">
        <f t="shared" si="15"/>
        <v>2007</v>
      </c>
      <c r="B78" s="69">
        <v>39142</v>
      </c>
      <c r="C78" s="311">
        <v>3307</v>
      </c>
      <c r="D78" s="311">
        <f t="shared" si="13"/>
        <v>2184</v>
      </c>
      <c r="E78" s="102">
        <f t="shared" si="14"/>
        <v>0.60225824075760337</v>
      </c>
      <c r="F78" s="307">
        <v>5491</v>
      </c>
      <c r="G78" s="122"/>
    </row>
    <row r="79" spans="1:7">
      <c r="A79" s="89">
        <f t="shared" si="15"/>
        <v>2007</v>
      </c>
      <c r="B79" s="69">
        <v>39234</v>
      </c>
      <c r="C79" s="312">
        <v>3982</v>
      </c>
      <c r="D79" s="312">
        <f t="shared" si="13"/>
        <v>2963</v>
      </c>
      <c r="E79" s="103">
        <f t="shared" si="14"/>
        <v>0.57336213102951761</v>
      </c>
      <c r="F79" s="308">
        <v>6945</v>
      </c>
      <c r="G79" s="122"/>
    </row>
    <row r="80" spans="1:7">
      <c r="A80" s="89">
        <f t="shared" si="15"/>
        <v>2007</v>
      </c>
      <c r="B80" s="69">
        <v>39326</v>
      </c>
      <c r="C80" s="311">
        <v>3666</v>
      </c>
      <c r="D80" s="311">
        <f t="shared" si="13"/>
        <v>2500</v>
      </c>
      <c r="E80" s="102">
        <f t="shared" si="14"/>
        <v>0.59455076224456693</v>
      </c>
      <c r="F80" s="307">
        <v>6166</v>
      </c>
      <c r="G80" s="122"/>
    </row>
    <row r="81" spans="1:7">
      <c r="A81" s="89">
        <f t="shared" si="15"/>
        <v>2007</v>
      </c>
      <c r="B81" s="69">
        <v>39417</v>
      </c>
      <c r="C81" s="312">
        <v>4319</v>
      </c>
      <c r="D81" s="312">
        <f t="shared" si="13"/>
        <v>3215</v>
      </c>
      <c r="E81" s="103">
        <f t="shared" si="14"/>
        <v>0.57326785240244227</v>
      </c>
      <c r="F81" s="308">
        <v>7534</v>
      </c>
      <c r="G81" s="122"/>
    </row>
    <row r="82" spans="1:7">
      <c r="A82" s="89">
        <f t="shared" si="15"/>
        <v>2008</v>
      </c>
      <c r="B82" s="69">
        <v>39508</v>
      </c>
      <c r="C82" s="311">
        <v>4318</v>
      </c>
      <c r="D82" s="311">
        <f t="shared" si="13"/>
        <v>2404</v>
      </c>
      <c r="E82" s="102">
        <f t="shared" si="14"/>
        <v>0.64236834275513244</v>
      </c>
      <c r="F82" s="307">
        <v>6722</v>
      </c>
      <c r="G82" s="122"/>
    </row>
    <row r="83" spans="1:7">
      <c r="A83" s="89">
        <f t="shared" si="15"/>
        <v>2008</v>
      </c>
      <c r="B83" s="69">
        <v>39600</v>
      </c>
      <c r="C83" s="312">
        <v>5047</v>
      </c>
      <c r="D83" s="312">
        <f t="shared" si="13"/>
        <v>3732</v>
      </c>
      <c r="E83" s="103">
        <f t="shared" si="14"/>
        <v>0.57489463492425108</v>
      </c>
      <c r="F83" s="308">
        <v>8779</v>
      </c>
      <c r="G83" s="122"/>
    </row>
    <row r="84" spans="1:7">
      <c r="A84" s="89">
        <f t="shared" si="15"/>
        <v>2008</v>
      </c>
      <c r="B84" s="69">
        <v>39692</v>
      </c>
      <c r="C84" s="311">
        <v>5463</v>
      </c>
      <c r="D84" s="311">
        <f t="shared" si="13"/>
        <v>3109</v>
      </c>
      <c r="E84" s="102">
        <f t="shared" si="14"/>
        <v>0.63730751283247788</v>
      </c>
      <c r="F84" s="307">
        <v>8572</v>
      </c>
      <c r="G84" s="122"/>
    </row>
    <row r="85" spans="1:7">
      <c r="A85" s="89">
        <f t="shared" si="15"/>
        <v>2008</v>
      </c>
      <c r="B85" s="69">
        <v>39783</v>
      </c>
      <c r="C85" s="312">
        <v>6710</v>
      </c>
      <c r="D85" s="312">
        <f t="shared" si="13"/>
        <v>4332</v>
      </c>
      <c r="E85" s="103">
        <f t="shared" si="14"/>
        <v>0.60767976815794245</v>
      </c>
      <c r="F85" s="308">
        <v>11042</v>
      </c>
      <c r="G85" s="122"/>
    </row>
    <row r="86" spans="1:7">
      <c r="A86" s="89">
        <f t="shared" si="15"/>
        <v>2009</v>
      </c>
      <c r="B86" s="69">
        <v>39873</v>
      </c>
      <c r="C86" s="311">
        <v>5354</v>
      </c>
      <c r="D86" s="311">
        <f t="shared" si="13"/>
        <v>3736</v>
      </c>
      <c r="E86" s="102">
        <f t="shared" si="14"/>
        <v>0.58899889988998899</v>
      </c>
      <c r="F86" s="307">
        <v>9090</v>
      </c>
      <c r="G86" s="122"/>
    </row>
    <row r="87" spans="1:7">
      <c r="A87" s="89">
        <f t="shared" si="15"/>
        <v>2009</v>
      </c>
      <c r="B87" s="69">
        <v>39965</v>
      </c>
      <c r="C87" s="312">
        <v>5879</v>
      </c>
      <c r="D87" s="312">
        <f t="shared" si="13"/>
        <v>3394</v>
      </c>
      <c r="E87" s="103">
        <f t="shared" si="14"/>
        <v>0.63399115712282972</v>
      </c>
      <c r="F87" s="308">
        <v>9273</v>
      </c>
      <c r="G87" s="122"/>
    </row>
    <row r="88" spans="1:7">
      <c r="A88" s="89">
        <f t="shared" si="15"/>
        <v>2009</v>
      </c>
      <c r="B88" s="69">
        <v>40057</v>
      </c>
      <c r="C88" s="311">
        <v>5100</v>
      </c>
      <c r="D88" s="311">
        <f t="shared" si="13"/>
        <v>2861</v>
      </c>
      <c r="E88" s="102">
        <f t="shared" si="14"/>
        <v>0.64062303730687098</v>
      </c>
      <c r="F88" s="307">
        <v>7961</v>
      </c>
      <c r="G88" s="150"/>
    </row>
    <row r="89" spans="1:7">
      <c r="A89" s="89">
        <f t="shared" si="15"/>
        <v>2009</v>
      </c>
      <c r="B89" s="69">
        <v>40148</v>
      </c>
      <c r="C89" s="312">
        <v>5385</v>
      </c>
      <c r="D89" s="312">
        <f t="shared" si="13"/>
        <v>3941</v>
      </c>
      <c r="E89" s="103">
        <f t="shared" si="14"/>
        <v>0.57741797126313532</v>
      </c>
      <c r="F89" s="308">
        <v>9326</v>
      </c>
      <c r="G89" s="122"/>
    </row>
    <row r="90" spans="1:7">
      <c r="A90" s="89">
        <f t="shared" si="15"/>
        <v>2010</v>
      </c>
      <c r="B90" s="69">
        <v>40238</v>
      </c>
      <c r="C90" s="311">
        <v>5335</v>
      </c>
      <c r="D90" s="311">
        <f t="shared" si="13"/>
        <v>2753</v>
      </c>
      <c r="E90" s="102">
        <f t="shared" si="14"/>
        <v>0.65961918892185956</v>
      </c>
      <c r="F90" s="307">
        <v>8088</v>
      </c>
      <c r="G90" s="122"/>
    </row>
    <row r="91" spans="1:7">
      <c r="A91" s="89">
        <f t="shared" si="15"/>
        <v>2010</v>
      </c>
      <c r="B91" s="69">
        <v>40330</v>
      </c>
      <c r="C91" s="312">
        <v>6108</v>
      </c>
      <c r="D91" s="312">
        <f t="shared" si="13"/>
        <v>3702</v>
      </c>
      <c r="E91" s="103">
        <f t="shared" si="14"/>
        <v>0.62262996941896021</v>
      </c>
      <c r="F91" s="308">
        <v>9810</v>
      </c>
      <c r="G91" s="122"/>
    </row>
    <row r="92" spans="1:7">
      <c r="A92" s="89">
        <f t="shared" si="15"/>
        <v>2010</v>
      </c>
      <c r="B92" s="69">
        <v>40422</v>
      </c>
      <c r="C92" s="311">
        <v>6452</v>
      </c>
      <c r="D92" s="311">
        <f t="shared" si="13"/>
        <v>3968</v>
      </c>
      <c r="E92" s="102">
        <f t="shared" si="14"/>
        <v>0.61919385796545101</v>
      </c>
      <c r="F92" s="307">
        <v>10420</v>
      </c>
      <c r="G92" s="122"/>
    </row>
    <row r="93" spans="1:7">
      <c r="A93" s="89">
        <f t="shared" si="15"/>
        <v>2010</v>
      </c>
      <c r="B93" s="69">
        <v>40513</v>
      </c>
      <c r="C93" s="312">
        <v>6801</v>
      </c>
      <c r="D93" s="312">
        <f t="shared" si="13"/>
        <v>4742</v>
      </c>
      <c r="E93" s="103">
        <f t="shared" si="14"/>
        <v>0.5891882526206359</v>
      </c>
      <c r="F93" s="308">
        <v>11543</v>
      </c>
      <c r="G93" s="122"/>
    </row>
    <row r="94" spans="1:7">
      <c r="A94" s="89">
        <f t="shared" si="15"/>
        <v>2011</v>
      </c>
      <c r="B94" s="69">
        <v>40603</v>
      </c>
      <c r="C94" s="311">
        <v>6577</v>
      </c>
      <c r="D94" s="311">
        <f t="shared" si="13"/>
        <v>3948</v>
      </c>
      <c r="E94" s="102">
        <f t="shared" si="14"/>
        <v>0.62489311163895489</v>
      </c>
      <c r="F94" s="307">
        <v>10525</v>
      </c>
      <c r="G94" s="122"/>
    </row>
    <row r="95" spans="1:7">
      <c r="A95" s="89">
        <f t="shared" si="15"/>
        <v>2011</v>
      </c>
      <c r="B95" s="69">
        <v>40695</v>
      </c>
      <c r="C95" s="312">
        <v>8463</v>
      </c>
      <c r="D95" s="312">
        <f t="shared" si="13"/>
        <v>5896</v>
      </c>
      <c r="E95" s="103">
        <f t="shared" si="14"/>
        <v>0.58938644752420088</v>
      </c>
      <c r="F95" s="308">
        <v>14359</v>
      </c>
      <c r="G95" s="122"/>
    </row>
    <row r="96" spans="1:7">
      <c r="A96" s="89">
        <f t="shared" si="15"/>
        <v>2011</v>
      </c>
      <c r="B96" s="69">
        <v>40787</v>
      </c>
      <c r="C96" s="311">
        <v>9539</v>
      </c>
      <c r="D96" s="311">
        <f t="shared" si="13"/>
        <v>7759</v>
      </c>
      <c r="E96" s="102">
        <f t="shared" si="14"/>
        <v>0.5514510348017112</v>
      </c>
      <c r="F96" s="307">
        <v>17298</v>
      </c>
      <c r="G96" s="122"/>
    </row>
    <row r="97" spans="1:7">
      <c r="A97" s="89">
        <f t="shared" si="15"/>
        <v>2011</v>
      </c>
      <c r="B97" s="69">
        <v>40878</v>
      </c>
      <c r="C97" s="312">
        <v>10452</v>
      </c>
      <c r="D97" s="312">
        <f t="shared" si="13"/>
        <v>9488</v>
      </c>
      <c r="E97" s="103">
        <f t="shared" si="14"/>
        <v>0.52417251755265792</v>
      </c>
      <c r="F97" s="308">
        <v>19940</v>
      </c>
      <c r="G97" s="122"/>
    </row>
    <row r="98" spans="1:7">
      <c r="A98" s="89">
        <f t="shared" si="15"/>
        <v>2012</v>
      </c>
      <c r="B98" s="69">
        <v>40969</v>
      </c>
      <c r="C98" s="311">
        <v>10922</v>
      </c>
      <c r="D98" s="311">
        <f t="shared" si="13"/>
        <v>8690</v>
      </c>
      <c r="E98" s="102">
        <f t="shared" si="14"/>
        <v>0.55690393636549052</v>
      </c>
      <c r="F98" s="307">
        <v>19612</v>
      </c>
      <c r="G98" s="122"/>
    </row>
    <row r="99" spans="1:7">
      <c r="A99" s="89">
        <f t="shared" si="15"/>
        <v>2012</v>
      </c>
      <c r="B99" s="69">
        <v>41061</v>
      </c>
      <c r="C99" s="312">
        <v>14158</v>
      </c>
      <c r="D99" s="312">
        <f t="shared" si="13"/>
        <v>10989</v>
      </c>
      <c r="E99" s="103">
        <f t="shared" si="14"/>
        <v>0.56300950411579909</v>
      </c>
      <c r="F99" s="308">
        <v>25147</v>
      </c>
      <c r="G99" s="122"/>
    </row>
    <row r="100" spans="1:7">
      <c r="A100" s="89">
        <f t="shared" si="15"/>
        <v>2012</v>
      </c>
      <c r="B100" s="69">
        <v>41153</v>
      </c>
      <c r="C100" s="311">
        <v>12757</v>
      </c>
      <c r="D100" s="311">
        <f t="shared" si="13"/>
        <v>10919</v>
      </c>
      <c r="E100" s="102">
        <f t="shared" si="14"/>
        <v>0.5388156783240412</v>
      </c>
      <c r="F100" s="307">
        <v>23676</v>
      </c>
      <c r="G100" s="122"/>
    </row>
    <row r="101" spans="1:7">
      <c r="A101" s="89">
        <f t="shared" si="15"/>
        <v>2012</v>
      </c>
      <c r="B101" s="69">
        <v>41244</v>
      </c>
      <c r="C101" s="312">
        <v>13203</v>
      </c>
      <c r="D101" s="312">
        <f t="shared" si="13"/>
        <v>12842</v>
      </c>
      <c r="E101" s="103">
        <f t="shared" si="14"/>
        <v>0.50693031291994628</v>
      </c>
      <c r="F101" s="308">
        <v>26045</v>
      </c>
      <c r="G101" s="122"/>
    </row>
    <row r="102" spans="1:7">
      <c r="A102" s="89">
        <f t="shared" si="15"/>
        <v>2013</v>
      </c>
      <c r="B102" s="69">
        <v>41334</v>
      </c>
      <c r="C102" s="311">
        <v>9733</v>
      </c>
      <c r="D102" s="311">
        <f t="shared" si="13"/>
        <v>10901</v>
      </c>
      <c r="E102" s="102">
        <f t="shared" si="14"/>
        <v>0.47169719879810024</v>
      </c>
      <c r="F102" s="307">
        <v>20634</v>
      </c>
      <c r="G102" s="122"/>
    </row>
    <row r="103" spans="1:7">
      <c r="A103" s="89">
        <f t="shared" si="15"/>
        <v>2013</v>
      </c>
      <c r="B103" s="69">
        <v>41426</v>
      </c>
      <c r="C103" s="312">
        <v>12507</v>
      </c>
      <c r="D103" s="312">
        <f t="shared" si="13"/>
        <v>11847</v>
      </c>
      <c r="E103" s="103">
        <f t="shared" si="14"/>
        <v>0.51355013550135498</v>
      </c>
      <c r="F103" s="308">
        <v>24354</v>
      </c>
      <c r="G103" s="122"/>
    </row>
    <row r="104" spans="1:7">
      <c r="A104" s="89">
        <f t="shared" si="15"/>
        <v>2013</v>
      </c>
      <c r="B104" s="69">
        <v>41518</v>
      </c>
      <c r="C104" s="311">
        <v>12245</v>
      </c>
      <c r="D104" s="311">
        <f t="shared" si="13"/>
        <v>11958</v>
      </c>
      <c r="E104" s="102">
        <f t="shared" si="14"/>
        <v>0.50592901706400029</v>
      </c>
      <c r="F104" s="307">
        <v>24203</v>
      </c>
      <c r="G104" s="122"/>
    </row>
    <row r="105" spans="1:7">
      <c r="A105" s="89">
        <f t="shared" si="15"/>
        <v>2013</v>
      </c>
      <c r="B105" s="69">
        <v>41609</v>
      </c>
      <c r="C105" s="312">
        <v>12301</v>
      </c>
      <c r="D105" s="312">
        <f t="shared" si="13"/>
        <v>12406</v>
      </c>
      <c r="E105" s="103">
        <f t="shared" si="14"/>
        <v>0.4978750961266038</v>
      </c>
      <c r="F105" s="308">
        <v>24707</v>
      </c>
      <c r="G105" s="122"/>
    </row>
    <row r="106" spans="1:7">
      <c r="A106" s="89">
        <f t="shared" si="15"/>
        <v>2014</v>
      </c>
      <c r="B106" s="69">
        <v>41699</v>
      </c>
      <c r="C106" s="311">
        <v>10246</v>
      </c>
      <c r="D106" s="311">
        <f t="shared" si="13"/>
        <v>8846</v>
      </c>
      <c r="E106" s="102">
        <f t="shared" si="14"/>
        <v>0.5366645715482925</v>
      </c>
      <c r="F106" s="307">
        <v>19092</v>
      </c>
      <c r="G106" s="122"/>
    </row>
    <row r="107" spans="1:7">
      <c r="A107" s="89">
        <f t="shared" si="15"/>
        <v>2014</v>
      </c>
      <c r="B107" s="69">
        <v>41791</v>
      </c>
      <c r="C107" s="312">
        <v>11967</v>
      </c>
      <c r="D107" s="312">
        <f t="shared" si="13"/>
        <v>10423</v>
      </c>
      <c r="E107" s="103">
        <f t="shared" si="14"/>
        <v>0.53447967842786959</v>
      </c>
      <c r="F107" s="308">
        <v>22390</v>
      </c>
      <c r="G107" s="122"/>
    </row>
    <row r="108" spans="1:7">
      <c r="A108" s="89">
        <f t="shared" si="15"/>
        <v>2014</v>
      </c>
      <c r="B108" s="69">
        <v>41883</v>
      </c>
      <c r="C108" s="311">
        <v>11785</v>
      </c>
      <c r="D108" s="311">
        <f t="shared" si="13"/>
        <v>9022</v>
      </c>
      <c r="E108" s="102">
        <f t="shared" si="14"/>
        <v>0.56639592444850295</v>
      </c>
      <c r="F108" s="307">
        <v>20807</v>
      </c>
      <c r="G108" s="122"/>
    </row>
    <row r="109" spans="1:7">
      <c r="A109" s="89">
        <f t="shared" si="15"/>
        <v>2014</v>
      </c>
      <c r="B109" s="69">
        <v>41974</v>
      </c>
      <c r="C109" s="312">
        <v>12213</v>
      </c>
      <c r="D109" s="312">
        <f t="shared" si="13"/>
        <v>9044</v>
      </c>
      <c r="E109" s="103">
        <f t="shared" si="14"/>
        <v>0.57454015147951265</v>
      </c>
      <c r="F109" s="308">
        <v>21257</v>
      </c>
      <c r="G109" s="122"/>
    </row>
    <row r="110" spans="1:7">
      <c r="A110" s="89">
        <f t="shared" si="15"/>
        <v>2015</v>
      </c>
      <c r="B110" s="69">
        <v>42064</v>
      </c>
      <c r="C110" s="311">
        <v>10737</v>
      </c>
      <c r="D110" s="311">
        <f t="shared" si="13"/>
        <v>6074</v>
      </c>
      <c r="E110" s="102">
        <f t="shared" si="14"/>
        <v>0.63868895366129319</v>
      </c>
      <c r="F110" s="307">
        <v>16811</v>
      </c>
      <c r="G110" s="122"/>
    </row>
    <row r="111" spans="1:7">
      <c r="A111" s="89">
        <f t="shared" si="15"/>
        <v>2015</v>
      </c>
      <c r="B111" s="69">
        <v>42156</v>
      </c>
      <c r="C111" s="312">
        <v>11255</v>
      </c>
      <c r="D111" s="312">
        <f t="shared" si="13"/>
        <v>5987</v>
      </c>
      <c r="E111" s="103">
        <f t="shared" si="14"/>
        <v>0.65276650040598538</v>
      </c>
      <c r="F111" s="308">
        <v>17242</v>
      </c>
      <c r="G111" s="122"/>
    </row>
    <row r="112" spans="1:7">
      <c r="A112" s="89">
        <f t="shared" si="15"/>
        <v>2015</v>
      </c>
      <c r="B112" s="69">
        <v>42248</v>
      </c>
      <c r="C112" s="311">
        <v>9813</v>
      </c>
      <c r="D112" s="311">
        <f t="shared" si="13"/>
        <v>5075</v>
      </c>
      <c r="E112" s="102">
        <f t="shared" si="14"/>
        <v>0.65912144008597529</v>
      </c>
      <c r="F112" s="307">
        <v>14888</v>
      </c>
      <c r="G112" s="122"/>
    </row>
    <row r="113" spans="1:7">
      <c r="A113" s="89">
        <f t="shared" si="15"/>
        <v>2015</v>
      </c>
      <c r="B113" s="69">
        <v>42339</v>
      </c>
      <c r="C113" s="312">
        <v>10579</v>
      </c>
      <c r="D113" s="312">
        <f t="shared" si="13"/>
        <v>5648</v>
      </c>
      <c r="E113" s="103">
        <f t="shared" si="14"/>
        <v>0.65193812781167193</v>
      </c>
      <c r="F113" s="308">
        <v>16227</v>
      </c>
      <c r="G113" s="122"/>
    </row>
    <row r="114" spans="1:7">
      <c r="A114" s="89">
        <f t="shared" si="15"/>
        <v>2016</v>
      </c>
      <c r="B114" s="69">
        <v>42430</v>
      </c>
      <c r="C114" s="311">
        <v>7824</v>
      </c>
      <c r="D114" s="311">
        <f t="shared" si="13"/>
        <v>3576</v>
      </c>
      <c r="E114" s="102">
        <f t="shared" si="14"/>
        <v>0.68631578947368421</v>
      </c>
      <c r="F114" s="307">
        <v>11400</v>
      </c>
    </row>
    <row r="115" spans="1:7">
      <c r="A115" s="89">
        <f t="shared" si="15"/>
        <v>2016</v>
      </c>
      <c r="B115" s="69">
        <v>42522</v>
      </c>
      <c r="C115" s="312">
        <v>6995</v>
      </c>
      <c r="D115" s="312">
        <f t="shared" si="13"/>
        <v>3879</v>
      </c>
      <c r="E115" s="103">
        <f t="shared" si="14"/>
        <v>0.64327754276255289</v>
      </c>
      <c r="F115" s="308">
        <v>10874</v>
      </c>
    </row>
    <row r="116" spans="1:7">
      <c r="A116" s="89">
        <f t="shared" si="15"/>
        <v>2016</v>
      </c>
      <c r="B116" s="69">
        <v>42614</v>
      </c>
      <c r="C116" s="311">
        <v>5869</v>
      </c>
      <c r="D116" s="311">
        <f t="shared" ref="D116:D117" si="16">F116-C116</f>
        <v>4200</v>
      </c>
      <c r="E116" s="102">
        <f t="shared" ref="E116:E117" si="17">C116/F116</f>
        <v>0.58287814082828482</v>
      </c>
      <c r="F116" s="307">
        <v>10069</v>
      </c>
    </row>
    <row r="117" spans="1:7" ht="15.75" thickBot="1">
      <c r="A117" s="89">
        <f t="shared" si="15"/>
        <v>2016</v>
      </c>
      <c r="B117" s="71">
        <v>42705</v>
      </c>
      <c r="C117" s="313">
        <v>6177</v>
      </c>
      <c r="D117" s="313">
        <f t="shared" si="16"/>
        <v>4101</v>
      </c>
      <c r="E117" s="104">
        <f t="shared" si="17"/>
        <v>0.60099241097489786</v>
      </c>
      <c r="F117" s="309">
        <v>10278</v>
      </c>
    </row>
    <row r="118" spans="1:7">
      <c r="A118" s="89">
        <f t="shared" si="15"/>
        <v>1900</v>
      </c>
      <c r="D118" s="310"/>
      <c r="F118" s="310"/>
    </row>
    <row r="119" spans="1:7">
      <c r="A119" s="89">
        <f t="shared" si="15"/>
        <v>1900</v>
      </c>
      <c r="D119" s="310"/>
      <c r="F119" s="310"/>
    </row>
    <row r="120" spans="1:7">
      <c r="A120" s="89">
        <f t="shared" si="15"/>
        <v>1900</v>
      </c>
      <c r="D120" s="310"/>
      <c r="F120" s="310"/>
    </row>
    <row r="121" spans="1:7">
      <c r="A121" s="89">
        <f t="shared" si="15"/>
        <v>1900</v>
      </c>
      <c r="D121" s="310"/>
      <c r="F121" s="310"/>
    </row>
    <row r="122" spans="1:7">
      <c r="A122" s="89">
        <f t="shared" si="15"/>
        <v>1900</v>
      </c>
      <c r="D122" s="310"/>
      <c r="F122" s="310"/>
    </row>
    <row r="123" spans="1:7">
      <c r="A123" s="89">
        <f t="shared" si="15"/>
        <v>1900</v>
      </c>
      <c r="D123" s="310"/>
      <c r="F123" s="310"/>
    </row>
    <row r="124" spans="1:7">
      <c r="A124" s="89">
        <f t="shared" si="15"/>
        <v>1900</v>
      </c>
      <c r="D124" s="310"/>
      <c r="F124" s="310"/>
    </row>
    <row r="125" spans="1:7">
      <c r="A125" s="89">
        <f t="shared" si="15"/>
        <v>1900</v>
      </c>
      <c r="D125" s="310"/>
      <c r="F125" s="310"/>
    </row>
    <row r="126" spans="1:7">
      <c r="A126" s="89">
        <f t="shared" si="15"/>
        <v>1900</v>
      </c>
      <c r="D126" s="310"/>
      <c r="F126" s="310"/>
    </row>
    <row r="127" spans="1:7">
      <c r="A127" s="89">
        <f t="shared" si="15"/>
        <v>1900</v>
      </c>
      <c r="D127" s="310"/>
      <c r="F127" s="310"/>
    </row>
    <row r="128" spans="1:7">
      <c r="A128" s="89">
        <f t="shared" si="15"/>
        <v>1900</v>
      </c>
      <c r="D128" s="310"/>
      <c r="F128" s="310"/>
    </row>
    <row r="129" spans="1:6">
      <c r="A129" s="89">
        <f t="shared" si="15"/>
        <v>1900</v>
      </c>
      <c r="D129" s="310"/>
      <c r="F129" s="310"/>
    </row>
    <row r="130" spans="1:6">
      <c r="A130" s="89">
        <f t="shared" si="15"/>
        <v>1900</v>
      </c>
      <c r="D130" s="310"/>
      <c r="F130" s="310"/>
    </row>
    <row r="131" spans="1:6">
      <c r="A131" s="89">
        <f t="shared" si="15"/>
        <v>1900</v>
      </c>
      <c r="D131" s="310"/>
      <c r="F131" s="310"/>
    </row>
    <row r="132" spans="1:6">
      <c r="A132" s="89">
        <f t="shared" si="15"/>
        <v>1900</v>
      </c>
      <c r="D132" s="310"/>
      <c r="F132" s="310"/>
    </row>
    <row r="133" spans="1:6">
      <c r="A133" s="89">
        <f t="shared" si="15"/>
        <v>1900</v>
      </c>
      <c r="D133" s="310"/>
      <c r="F133" s="310"/>
    </row>
    <row r="134" spans="1:6">
      <c r="A134" s="89">
        <f t="shared" si="15"/>
        <v>1900</v>
      </c>
      <c r="D134" s="310"/>
      <c r="F134" s="310"/>
    </row>
    <row r="135" spans="1:6">
      <c r="A135" s="89">
        <f t="shared" si="15"/>
        <v>1900</v>
      </c>
      <c r="D135" s="310"/>
      <c r="F135" s="310"/>
    </row>
    <row r="136" spans="1:6">
      <c r="A136" s="89">
        <f t="shared" ref="A136:A199" si="18">YEAR(B136)</f>
        <v>1900</v>
      </c>
      <c r="D136" s="310"/>
      <c r="F136" s="310"/>
    </row>
    <row r="137" spans="1:6">
      <c r="A137" s="89">
        <f t="shared" si="18"/>
        <v>1900</v>
      </c>
      <c r="D137" s="310"/>
      <c r="F137" s="310"/>
    </row>
    <row r="138" spans="1:6" ht="16.5" customHeight="1">
      <c r="A138" s="89">
        <f t="shared" si="18"/>
        <v>1900</v>
      </c>
      <c r="D138" s="310"/>
      <c r="F138" s="310"/>
    </row>
    <row r="139" spans="1:6">
      <c r="A139" s="89">
        <f t="shared" si="18"/>
        <v>1900</v>
      </c>
      <c r="D139" s="310"/>
      <c r="F139" s="310"/>
    </row>
    <row r="140" spans="1:6">
      <c r="A140" s="89">
        <f t="shared" si="18"/>
        <v>1900</v>
      </c>
      <c r="F140" s="310"/>
    </row>
    <row r="141" spans="1:6">
      <c r="A141" s="89">
        <f t="shared" si="18"/>
        <v>1900</v>
      </c>
      <c r="F141" s="310"/>
    </row>
    <row r="142" spans="1:6">
      <c r="A142" s="89">
        <f t="shared" si="18"/>
        <v>1900</v>
      </c>
      <c r="F142" s="310"/>
    </row>
    <row r="143" spans="1:6">
      <c r="A143" s="89">
        <f t="shared" si="18"/>
        <v>1900</v>
      </c>
      <c r="F143" s="310"/>
    </row>
    <row r="144" spans="1:6">
      <c r="A144" s="89">
        <f t="shared" si="18"/>
        <v>1900</v>
      </c>
      <c r="F144" s="310"/>
    </row>
    <row r="145" spans="1:6">
      <c r="A145" s="89">
        <f t="shared" si="18"/>
        <v>1900</v>
      </c>
      <c r="F145" s="310"/>
    </row>
    <row r="146" spans="1:6">
      <c r="A146" s="89">
        <f t="shared" si="18"/>
        <v>1900</v>
      </c>
      <c r="F146" s="310"/>
    </row>
    <row r="147" spans="1:6">
      <c r="A147" s="89">
        <f t="shared" si="18"/>
        <v>1900</v>
      </c>
      <c r="F147" s="310"/>
    </row>
    <row r="148" spans="1:6">
      <c r="A148" s="89">
        <f t="shared" si="18"/>
        <v>1900</v>
      </c>
      <c r="F148" s="310"/>
    </row>
    <row r="149" spans="1:6">
      <c r="A149" s="89">
        <f t="shared" si="18"/>
        <v>1900</v>
      </c>
      <c r="F149" s="310"/>
    </row>
    <row r="150" spans="1:6">
      <c r="A150" s="89">
        <f t="shared" si="18"/>
        <v>1900</v>
      </c>
      <c r="F150" s="310"/>
    </row>
    <row r="151" spans="1:6">
      <c r="A151" s="89">
        <f t="shared" si="18"/>
        <v>1900</v>
      </c>
      <c r="F151" s="310"/>
    </row>
    <row r="152" spans="1:6">
      <c r="A152" s="89">
        <f t="shared" si="18"/>
        <v>1900</v>
      </c>
      <c r="F152" s="310"/>
    </row>
    <row r="153" spans="1:6">
      <c r="A153" s="89">
        <f t="shared" si="18"/>
        <v>1900</v>
      </c>
      <c r="F153" s="310"/>
    </row>
    <row r="154" spans="1:6">
      <c r="A154" s="89">
        <f t="shared" si="18"/>
        <v>1900</v>
      </c>
      <c r="F154" s="310"/>
    </row>
    <row r="155" spans="1:6">
      <c r="A155" s="89">
        <f t="shared" si="18"/>
        <v>1900</v>
      </c>
      <c r="F155" s="310"/>
    </row>
    <row r="156" spans="1:6">
      <c r="A156" s="89">
        <f t="shared" si="18"/>
        <v>1900</v>
      </c>
      <c r="F156" s="310"/>
    </row>
    <row r="157" spans="1:6">
      <c r="A157" s="89">
        <f t="shared" si="18"/>
        <v>1900</v>
      </c>
      <c r="F157" s="310"/>
    </row>
    <row r="158" spans="1:6">
      <c r="A158" s="89">
        <f t="shared" si="18"/>
        <v>1900</v>
      </c>
      <c r="F158" s="310"/>
    </row>
    <row r="159" spans="1:6">
      <c r="A159" s="89">
        <f t="shared" si="18"/>
        <v>1900</v>
      </c>
      <c r="F159" s="310"/>
    </row>
    <row r="160" spans="1:6">
      <c r="A160" s="89">
        <f t="shared" si="18"/>
        <v>1900</v>
      </c>
      <c r="F160" s="310"/>
    </row>
    <row r="161" spans="1:6">
      <c r="A161" s="89">
        <f t="shared" si="18"/>
        <v>1900</v>
      </c>
      <c r="F161" s="310"/>
    </row>
    <row r="162" spans="1:6">
      <c r="A162" s="89">
        <f t="shared" si="18"/>
        <v>1900</v>
      </c>
      <c r="F162" s="310"/>
    </row>
    <row r="163" spans="1:6">
      <c r="A163" s="89">
        <f t="shared" si="18"/>
        <v>1900</v>
      </c>
      <c r="F163" s="310"/>
    </row>
    <row r="164" spans="1:6">
      <c r="A164" s="89">
        <f t="shared" si="18"/>
        <v>1900</v>
      </c>
      <c r="F164" s="310"/>
    </row>
    <row r="165" spans="1:6">
      <c r="A165" s="89">
        <f t="shared" si="18"/>
        <v>1900</v>
      </c>
      <c r="F165" s="310"/>
    </row>
    <row r="166" spans="1:6">
      <c r="A166" s="89">
        <f t="shared" si="18"/>
        <v>1900</v>
      </c>
      <c r="F166" s="310"/>
    </row>
    <row r="167" spans="1:6">
      <c r="A167" s="89">
        <f t="shared" si="18"/>
        <v>1900</v>
      </c>
      <c r="F167" s="310"/>
    </row>
    <row r="168" spans="1:6">
      <c r="A168" s="89">
        <f t="shared" si="18"/>
        <v>1900</v>
      </c>
      <c r="F168" s="310"/>
    </row>
    <row r="169" spans="1:6">
      <c r="A169" s="89">
        <f t="shared" si="18"/>
        <v>1900</v>
      </c>
      <c r="F169" s="310"/>
    </row>
    <row r="170" spans="1:6">
      <c r="A170" s="89">
        <f t="shared" si="18"/>
        <v>1900</v>
      </c>
      <c r="F170" s="310"/>
    </row>
    <row r="171" spans="1:6">
      <c r="A171" s="89">
        <f t="shared" si="18"/>
        <v>1900</v>
      </c>
      <c r="F171" s="310"/>
    </row>
    <row r="172" spans="1:6">
      <c r="A172" s="89">
        <f t="shared" si="18"/>
        <v>1900</v>
      </c>
      <c r="F172" s="310"/>
    </row>
    <row r="173" spans="1:6">
      <c r="A173" s="89">
        <f t="shared" si="18"/>
        <v>1900</v>
      </c>
      <c r="F173" s="310"/>
    </row>
    <row r="174" spans="1:6">
      <c r="A174" s="89">
        <f t="shared" si="18"/>
        <v>1900</v>
      </c>
      <c r="F174" s="310"/>
    </row>
    <row r="175" spans="1:6">
      <c r="A175" s="89">
        <f t="shared" si="18"/>
        <v>1900</v>
      </c>
      <c r="F175" s="310"/>
    </row>
    <row r="176" spans="1:6">
      <c r="A176" s="89">
        <f t="shared" si="18"/>
        <v>1900</v>
      </c>
      <c r="F176" s="310"/>
    </row>
    <row r="177" spans="1:6">
      <c r="A177" s="89">
        <f t="shared" si="18"/>
        <v>1900</v>
      </c>
      <c r="F177" s="310"/>
    </row>
    <row r="178" spans="1:6">
      <c r="A178" s="89">
        <f t="shared" si="18"/>
        <v>1900</v>
      </c>
      <c r="F178" s="310"/>
    </row>
    <row r="179" spans="1:6">
      <c r="A179" s="89">
        <f t="shared" si="18"/>
        <v>1900</v>
      </c>
      <c r="F179" s="310"/>
    </row>
    <row r="180" spans="1:6">
      <c r="A180" s="89">
        <f t="shared" si="18"/>
        <v>1900</v>
      </c>
      <c r="F180" s="310"/>
    </row>
    <row r="181" spans="1:6">
      <c r="A181" s="89">
        <f t="shared" si="18"/>
        <v>1900</v>
      </c>
      <c r="F181" s="310"/>
    </row>
    <row r="182" spans="1:6">
      <c r="A182" s="89">
        <f t="shared" si="18"/>
        <v>1900</v>
      </c>
    </row>
    <row r="183" spans="1:6">
      <c r="A183" s="89">
        <f t="shared" si="18"/>
        <v>1900</v>
      </c>
    </row>
    <row r="184" spans="1:6">
      <c r="A184" s="89">
        <f t="shared" si="18"/>
        <v>1900</v>
      </c>
    </row>
    <row r="185" spans="1:6">
      <c r="A185" s="89">
        <f t="shared" si="18"/>
        <v>1900</v>
      </c>
    </row>
    <row r="186" spans="1:6">
      <c r="A186" s="89">
        <f t="shared" si="18"/>
        <v>1900</v>
      </c>
    </row>
    <row r="187" spans="1:6">
      <c r="A187" s="89">
        <f t="shared" si="18"/>
        <v>1900</v>
      </c>
    </row>
    <row r="188" spans="1:6">
      <c r="A188" s="89">
        <f t="shared" si="18"/>
        <v>1900</v>
      </c>
    </row>
    <row r="189" spans="1:6">
      <c r="A189" s="89">
        <f t="shared" si="18"/>
        <v>1900</v>
      </c>
    </row>
    <row r="190" spans="1:6">
      <c r="A190" s="89">
        <f t="shared" si="18"/>
        <v>1900</v>
      </c>
    </row>
    <row r="191" spans="1:6">
      <c r="A191" s="89">
        <f t="shared" si="18"/>
        <v>1900</v>
      </c>
    </row>
    <row r="192" spans="1:6">
      <c r="A192" s="89">
        <f t="shared" si="18"/>
        <v>1900</v>
      </c>
    </row>
    <row r="193" spans="1:1">
      <c r="A193" s="89">
        <f t="shared" si="18"/>
        <v>1900</v>
      </c>
    </row>
    <row r="194" spans="1:1">
      <c r="A194" s="89">
        <f t="shared" si="18"/>
        <v>1900</v>
      </c>
    </row>
    <row r="195" spans="1:1">
      <c r="A195" s="89">
        <f t="shared" si="18"/>
        <v>1900</v>
      </c>
    </row>
    <row r="196" spans="1:1">
      <c r="A196" s="89">
        <f t="shared" si="18"/>
        <v>1900</v>
      </c>
    </row>
    <row r="197" spans="1:1">
      <c r="A197" s="89">
        <f t="shared" si="18"/>
        <v>1900</v>
      </c>
    </row>
    <row r="198" spans="1:1">
      <c r="A198" s="89">
        <f t="shared" si="18"/>
        <v>1900</v>
      </c>
    </row>
    <row r="199" spans="1:1">
      <c r="A199" s="89">
        <f t="shared" si="18"/>
        <v>1900</v>
      </c>
    </row>
    <row r="200" spans="1:1">
      <c r="A200" s="89">
        <f t="shared" ref="A200:A263" si="19">YEAR(B200)</f>
        <v>1900</v>
      </c>
    </row>
    <row r="201" spans="1:1">
      <c r="A201" s="89">
        <f t="shared" si="19"/>
        <v>1900</v>
      </c>
    </row>
    <row r="202" spans="1:1">
      <c r="A202" s="89">
        <f t="shared" si="19"/>
        <v>1900</v>
      </c>
    </row>
    <row r="203" spans="1:1">
      <c r="A203" s="89">
        <f t="shared" si="19"/>
        <v>1900</v>
      </c>
    </row>
    <row r="204" spans="1:1">
      <c r="A204" s="89">
        <f t="shared" si="19"/>
        <v>1900</v>
      </c>
    </row>
    <row r="205" spans="1:1">
      <c r="A205" s="89">
        <f t="shared" si="19"/>
        <v>1900</v>
      </c>
    </row>
    <row r="206" spans="1:1">
      <c r="A206" s="89">
        <f t="shared" si="19"/>
        <v>1900</v>
      </c>
    </row>
    <row r="207" spans="1:1">
      <c r="A207" s="89">
        <f t="shared" si="19"/>
        <v>1900</v>
      </c>
    </row>
    <row r="208" spans="1:1">
      <c r="A208" s="89">
        <f t="shared" si="19"/>
        <v>1900</v>
      </c>
    </row>
    <row r="209" spans="1:1">
      <c r="A209" s="89">
        <f t="shared" si="19"/>
        <v>1900</v>
      </c>
    </row>
    <row r="210" spans="1:1">
      <c r="A210" s="89">
        <f t="shared" si="19"/>
        <v>1900</v>
      </c>
    </row>
    <row r="211" spans="1:1">
      <c r="A211" s="89">
        <f t="shared" si="19"/>
        <v>1900</v>
      </c>
    </row>
    <row r="212" spans="1:1">
      <c r="A212" s="89">
        <f t="shared" si="19"/>
        <v>1900</v>
      </c>
    </row>
    <row r="213" spans="1:1">
      <c r="A213" s="89">
        <f t="shared" si="19"/>
        <v>1900</v>
      </c>
    </row>
    <row r="214" spans="1:1">
      <c r="A214" s="89">
        <f t="shared" si="19"/>
        <v>1900</v>
      </c>
    </row>
    <row r="215" spans="1:1">
      <c r="A215" s="89">
        <f t="shared" si="19"/>
        <v>1900</v>
      </c>
    </row>
    <row r="216" spans="1:1">
      <c r="A216" s="89">
        <f t="shared" si="19"/>
        <v>1900</v>
      </c>
    </row>
    <row r="217" spans="1:1">
      <c r="A217" s="89">
        <f t="shared" si="19"/>
        <v>1900</v>
      </c>
    </row>
    <row r="218" spans="1:1">
      <c r="A218" s="89">
        <f t="shared" si="19"/>
        <v>1900</v>
      </c>
    </row>
    <row r="219" spans="1:1">
      <c r="A219" s="89">
        <f t="shared" si="19"/>
        <v>1900</v>
      </c>
    </row>
    <row r="220" spans="1:1">
      <c r="A220" s="89">
        <f t="shared" si="19"/>
        <v>1900</v>
      </c>
    </row>
    <row r="221" spans="1:1">
      <c r="A221" s="89">
        <f t="shared" si="19"/>
        <v>1900</v>
      </c>
    </row>
    <row r="222" spans="1:1">
      <c r="A222" s="89">
        <f t="shared" si="19"/>
        <v>1900</v>
      </c>
    </row>
    <row r="223" spans="1:1">
      <c r="A223" s="89">
        <f t="shared" si="19"/>
        <v>1900</v>
      </c>
    </row>
    <row r="224" spans="1:1">
      <c r="A224" s="89">
        <f t="shared" si="19"/>
        <v>1900</v>
      </c>
    </row>
    <row r="225" spans="1:1">
      <c r="A225" s="89">
        <f t="shared" si="19"/>
        <v>1900</v>
      </c>
    </row>
    <row r="226" spans="1:1">
      <c r="A226" s="89">
        <f t="shared" si="19"/>
        <v>1900</v>
      </c>
    </row>
    <row r="227" spans="1:1">
      <c r="A227" s="89">
        <f t="shared" si="19"/>
        <v>1900</v>
      </c>
    </row>
    <row r="228" spans="1:1">
      <c r="A228" s="89">
        <f t="shared" si="19"/>
        <v>1900</v>
      </c>
    </row>
    <row r="229" spans="1:1">
      <c r="A229" s="89">
        <f t="shared" si="19"/>
        <v>1900</v>
      </c>
    </row>
    <row r="230" spans="1:1">
      <c r="A230" s="89">
        <f t="shared" si="19"/>
        <v>1900</v>
      </c>
    </row>
    <row r="231" spans="1:1">
      <c r="A231" s="89">
        <f t="shared" si="19"/>
        <v>1900</v>
      </c>
    </row>
    <row r="232" spans="1:1">
      <c r="A232" s="89">
        <f t="shared" si="19"/>
        <v>1900</v>
      </c>
    </row>
    <row r="233" spans="1:1">
      <c r="A233" s="89">
        <f t="shared" si="19"/>
        <v>1900</v>
      </c>
    </row>
    <row r="234" spans="1:1">
      <c r="A234" s="89">
        <f t="shared" si="19"/>
        <v>1900</v>
      </c>
    </row>
    <row r="235" spans="1:1">
      <c r="A235" s="89">
        <f t="shared" si="19"/>
        <v>1900</v>
      </c>
    </row>
    <row r="236" spans="1:1">
      <c r="A236" s="89">
        <f t="shared" si="19"/>
        <v>1900</v>
      </c>
    </row>
    <row r="237" spans="1:1">
      <c r="A237" s="89">
        <f t="shared" si="19"/>
        <v>1900</v>
      </c>
    </row>
    <row r="238" spans="1:1">
      <c r="A238" s="89">
        <f t="shared" si="19"/>
        <v>1900</v>
      </c>
    </row>
    <row r="239" spans="1:1">
      <c r="A239" s="89">
        <f t="shared" si="19"/>
        <v>1900</v>
      </c>
    </row>
    <row r="240" spans="1:1">
      <c r="A240" s="89">
        <f t="shared" si="19"/>
        <v>1900</v>
      </c>
    </row>
    <row r="241" spans="1:1">
      <c r="A241" s="89">
        <f t="shared" si="19"/>
        <v>1900</v>
      </c>
    </row>
    <row r="242" spans="1:1">
      <c r="A242" s="89">
        <f t="shared" si="19"/>
        <v>1900</v>
      </c>
    </row>
    <row r="243" spans="1:1">
      <c r="A243" s="89">
        <f t="shared" si="19"/>
        <v>1900</v>
      </c>
    </row>
    <row r="244" spans="1:1">
      <c r="A244" s="89">
        <f t="shared" si="19"/>
        <v>1900</v>
      </c>
    </row>
    <row r="245" spans="1:1">
      <c r="A245" s="89">
        <f t="shared" si="19"/>
        <v>1900</v>
      </c>
    </row>
    <row r="246" spans="1:1">
      <c r="A246" s="89">
        <f t="shared" si="19"/>
        <v>1900</v>
      </c>
    </row>
    <row r="247" spans="1:1">
      <c r="A247" s="89">
        <f t="shared" si="19"/>
        <v>1900</v>
      </c>
    </row>
    <row r="248" spans="1:1">
      <c r="A248" s="89">
        <f t="shared" si="19"/>
        <v>1900</v>
      </c>
    </row>
    <row r="249" spans="1:1">
      <c r="A249" s="89">
        <f t="shared" si="19"/>
        <v>1900</v>
      </c>
    </row>
    <row r="250" spans="1:1">
      <c r="A250" s="89">
        <f t="shared" si="19"/>
        <v>1900</v>
      </c>
    </row>
    <row r="251" spans="1:1">
      <c r="A251" s="89">
        <f t="shared" si="19"/>
        <v>1900</v>
      </c>
    </row>
    <row r="252" spans="1:1">
      <c r="A252" s="89">
        <f t="shared" si="19"/>
        <v>1900</v>
      </c>
    </row>
    <row r="253" spans="1:1">
      <c r="A253" s="89">
        <f t="shared" si="19"/>
        <v>1900</v>
      </c>
    </row>
    <row r="254" spans="1:1">
      <c r="A254" s="89">
        <f t="shared" si="19"/>
        <v>1900</v>
      </c>
    </row>
    <row r="255" spans="1:1">
      <c r="A255" s="89">
        <f t="shared" si="19"/>
        <v>1900</v>
      </c>
    </row>
    <row r="256" spans="1:1">
      <c r="A256" s="89">
        <f t="shared" si="19"/>
        <v>1900</v>
      </c>
    </row>
    <row r="257" spans="1:1">
      <c r="A257" s="89">
        <f t="shared" si="19"/>
        <v>1900</v>
      </c>
    </row>
    <row r="258" spans="1:1">
      <c r="A258" s="89">
        <f t="shared" si="19"/>
        <v>1900</v>
      </c>
    </row>
    <row r="259" spans="1:1">
      <c r="A259" s="89">
        <f t="shared" si="19"/>
        <v>1900</v>
      </c>
    </row>
    <row r="260" spans="1:1">
      <c r="A260" s="89">
        <f t="shared" si="19"/>
        <v>1900</v>
      </c>
    </row>
    <row r="261" spans="1:1">
      <c r="A261" s="89">
        <f t="shared" si="19"/>
        <v>1900</v>
      </c>
    </row>
    <row r="262" spans="1:1">
      <c r="A262" s="89">
        <f t="shared" si="19"/>
        <v>1900</v>
      </c>
    </row>
    <row r="263" spans="1:1">
      <c r="A263" s="89">
        <f t="shared" si="19"/>
        <v>1900</v>
      </c>
    </row>
    <row r="264" spans="1:1">
      <c r="A264" s="89">
        <f t="shared" ref="A264:A327" si="20">YEAR(B264)</f>
        <v>1900</v>
      </c>
    </row>
    <row r="265" spans="1:1">
      <c r="A265" s="89">
        <f t="shared" si="20"/>
        <v>1900</v>
      </c>
    </row>
    <row r="266" spans="1:1">
      <c r="A266" s="89">
        <f t="shared" si="20"/>
        <v>1900</v>
      </c>
    </row>
    <row r="267" spans="1:1">
      <c r="A267" s="89">
        <f t="shared" si="20"/>
        <v>1900</v>
      </c>
    </row>
    <row r="268" spans="1:1">
      <c r="A268" s="89">
        <f t="shared" si="20"/>
        <v>1900</v>
      </c>
    </row>
    <row r="269" spans="1:1">
      <c r="A269" s="89">
        <f t="shared" si="20"/>
        <v>1900</v>
      </c>
    </row>
    <row r="270" spans="1:1">
      <c r="A270" s="89">
        <f t="shared" si="20"/>
        <v>1900</v>
      </c>
    </row>
    <row r="271" spans="1:1">
      <c r="A271" s="89">
        <f t="shared" si="20"/>
        <v>1900</v>
      </c>
    </row>
    <row r="272" spans="1:1">
      <c r="A272" s="89">
        <f t="shared" si="20"/>
        <v>1900</v>
      </c>
    </row>
    <row r="273" spans="1:1">
      <c r="A273" s="89">
        <f t="shared" si="20"/>
        <v>1900</v>
      </c>
    </row>
    <row r="274" spans="1:1">
      <c r="A274" s="89">
        <f t="shared" si="20"/>
        <v>1900</v>
      </c>
    </row>
    <row r="275" spans="1:1">
      <c r="A275" s="89">
        <f t="shared" si="20"/>
        <v>1900</v>
      </c>
    </row>
    <row r="276" spans="1:1">
      <c r="A276" s="89">
        <f t="shared" si="20"/>
        <v>1900</v>
      </c>
    </row>
    <row r="277" spans="1:1">
      <c r="A277" s="89">
        <f t="shared" si="20"/>
        <v>1900</v>
      </c>
    </row>
    <row r="278" spans="1:1">
      <c r="A278" s="89">
        <f t="shared" si="20"/>
        <v>1900</v>
      </c>
    </row>
    <row r="279" spans="1:1">
      <c r="A279" s="89">
        <f t="shared" si="20"/>
        <v>1900</v>
      </c>
    </row>
    <row r="280" spans="1:1">
      <c r="A280" s="89">
        <f t="shared" si="20"/>
        <v>1900</v>
      </c>
    </row>
    <row r="281" spans="1:1">
      <c r="A281" s="89">
        <f t="shared" si="20"/>
        <v>1900</v>
      </c>
    </row>
    <row r="282" spans="1:1">
      <c r="A282" s="89">
        <f t="shared" si="20"/>
        <v>1900</v>
      </c>
    </row>
    <row r="283" spans="1:1">
      <c r="A283" s="89">
        <f t="shared" si="20"/>
        <v>1900</v>
      </c>
    </row>
    <row r="284" spans="1:1">
      <c r="A284" s="89">
        <f t="shared" si="20"/>
        <v>1900</v>
      </c>
    </row>
    <row r="285" spans="1:1">
      <c r="A285" s="89">
        <f t="shared" si="20"/>
        <v>1900</v>
      </c>
    </row>
    <row r="286" spans="1:1">
      <c r="A286" s="89">
        <f t="shared" si="20"/>
        <v>1900</v>
      </c>
    </row>
    <row r="287" spans="1:1">
      <c r="A287" s="89">
        <f t="shared" si="20"/>
        <v>1900</v>
      </c>
    </row>
    <row r="288" spans="1:1">
      <c r="A288" s="89">
        <f t="shared" si="20"/>
        <v>1900</v>
      </c>
    </row>
    <row r="289" spans="1:1">
      <c r="A289" s="89">
        <f t="shared" si="20"/>
        <v>1900</v>
      </c>
    </row>
    <row r="290" spans="1:1">
      <c r="A290" s="89">
        <f t="shared" si="20"/>
        <v>1900</v>
      </c>
    </row>
    <row r="291" spans="1:1">
      <c r="A291" s="89">
        <f t="shared" si="20"/>
        <v>1900</v>
      </c>
    </row>
    <row r="292" spans="1:1">
      <c r="A292" s="89">
        <f t="shared" si="20"/>
        <v>1900</v>
      </c>
    </row>
    <row r="293" spans="1:1">
      <c r="A293" s="89">
        <f t="shared" si="20"/>
        <v>1900</v>
      </c>
    </row>
    <row r="294" spans="1:1">
      <c r="A294" s="89">
        <f t="shared" si="20"/>
        <v>1900</v>
      </c>
    </row>
    <row r="295" spans="1:1">
      <c r="A295" s="89">
        <f t="shared" si="20"/>
        <v>1900</v>
      </c>
    </row>
    <row r="296" spans="1:1">
      <c r="A296" s="89">
        <f t="shared" si="20"/>
        <v>1900</v>
      </c>
    </row>
    <row r="297" spans="1:1">
      <c r="A297" s="89">
        <f t="shared" si="20"/>
        <v>1900</v>
      </c>
    </row>
    <row r="298" spans="1:1">
      <c r="A298" s="89">
        <f t="shared" si="20"/>
        <v>1900</v>
      </c>
    </row>
    <row r="299" spans="1:1">
      <c r="A299" s="89">
        <f t="shared" si="20"/>
        <v>1900</v>
      </c>
    </row>
    <row r="300" spans="1:1">
      <c r="A300" s="89">
        <f t="shared" si="20"/>
        <v>1900</v>
      </c>
    </row>
    <row r="301" spans="1:1">
      <c r="A301" s="89">
        <f t="shared" si="20"/>
        <v>1900</v>
      </c>
    </row>
    <row r="302" spans="1:1">
      <c r="A302" s="89">
        <f t="shared" si="20"/>
        <v>1900</v>
      </c>
    </row>
    <row r="303" spans="1:1">
      <c r="A303" s="89">
        <f t="shared" si="20"/>
        <v>1900</v>
      </c>
    </row>
    <row r="304" spans="1:1">
      <c r="A304" s="89">
        <f t="shared" si="20"/>
        <v>1900</v>
      </c>
    </row>
    <row r="305" spans="1:1">
      <c r="A305" s="89">
        <f t="shared" si="20"/>
        <v>1900</v>
      </c>
    </row>
    <row r="306" spans="1:1">
      <c r="A306" s="89">
        <f t="shared" si="20"/>
        <v>1900</v>
      </c>
    </row>
    <row r="307" spans="1:1">
      <c r="A307" s="89">
        <f t="shared" si="20"/>
        <v>1900</v>
      </c>
    </row>
    <row r="308" spans="1:1">
      <c r="A308" s="89">
        <f t="shared" si="20"/>
        <v>1900</v>
      </c>
    </row>
    <row r="309" spans="1:1">
      <c r="A309" s="89">
        <f t="shared" si="20"/>
        <v>1900</v>
      </c>
    </row>
    <row r="310" spans="1:1">
      <c r="A310" s="89">
        <f t="shared" si="20"/>
        <v>1900</v>
      </c>
    </row>
    <row r="311" spans="1:1">
      <c r="A311" s="89">
        <f t="shared" si="20"/>
        <v>1900</v>
      </c>
    </row>
    <row r="312" spans="1:1">
      <c r="A312" s="89">
        <f t="shared" si="20"/>
        <v>1900</v>
      </c>
    </row>
    <row r="313" spans="1:1">
      <c r="A313" s="89">
        <f t="shared" si="20"/>
        <v>1900</v>
      </c>
    </row>
    <row r="314" spans="1:1">
      <c r="A314" s="89">
        <f t="shared" si="20"/>
        <v>1900</v>
      </c>
    </row>
    <row r="315" spans="1:1">
      <c r="A315" s="89">
        <f t="shared" si="20"/>
        <v>1900</v>
      </c>
    </row>
    <row r="316" spans="1:1">
      <c r="A316" s="89">
        <f t="shared" si="20"/>
        <v>1900</v>
      </c>
    </row>
    <row r="317" spans="1:1">
      <c r="A317" s="89">
        <f t="shared" si="20"/>
        <v>1900</v>
      </c>
    </row>
    <row r="318" spans="1:1">
      <c r="A318" s="89">
        <f t="shared" si="20"/>
        <v>1900</v>
      </c>
    </row>
    <row r="319" spans="1:1">
      <c r="A319" s="89">
        <f t="shared" si="20"/>
        <v>1900</v>
      </c>
    </row>
    <row r="320" spans="1:1">
      <c r="A320" s="89">
        <f t="shared" si="20"/>
        <v>1900</v>
      </c>
    </row>
    <row r="321" spans="1:1">
      <c r="A321" s="89">
        <f t="shared" si="20"/>
        <v>1900</v>
      </c>
    </row>
    <row r="322" spans="1:1">
      <c r="A322" s="89">
        <f t="shared" si="20"/>
        <v>1900</v>
      </c>
    </row>
    <row r="323" spans="1:1">
      <c r="A323" s="89">
        <f t="shared" si="20"/>
        <v>1900</v>
      </c>
    </row>
    <row r="324" spans="1:1">
      <c r="A324" s="89">
        <f t="shared" si="20"/>
        <v>1900</v>
      </c>
    </row>
    <row r="325" spans="1:1">
      <c r="A325" s="89">
        <f t="shared" si="20"/>
        <v>1900</v>
      </c>
    </row>
    <row r="326" spans="1:1">
      <c r="A326" s="89">
        <f t="shared" si="20"/>
        <v>1900</v>
      </c>
    </row>
    <row r="327" spans="1:1">
      <c r="A327" s="89">
        <f t="shared" si="20"/>
        <v>1900</v>
      </c>
    </row>
    <row r="328" spans="1:1">
      <c r="A328" s="89">
        <f t="shared" ref="A328:A391" si="21">YEAR(B328)</f>
        <v>1900</v>
      </c>
    </row>
    <row r="329" spans="1:1">
      <c r="A329" s="89">
        <f t="shared" si="21"/>
        <v>1900</v>
      </c>
    </row>
    <row r="330" spans="1:1">
      <c r="A330" s="89">
        <f t="shared" si="21"/>
        <v>1900</v>
      </c>
    </row>
    <row r="331" spans="1:1">
      <c r="A331" s="89">
        <f t="shared" si="21"/>
        <v>1900</v>
      </c>
    </row>
    <row r="332" spans="1:1">
      <c r="A332" s="89">
        <f t="shared" si="21"/>
        <v>1900</v>
      </c>
    </row>
    <row r="333" spans="1:1">
      <c r="A333" s="89">
        <f t="shared" si="21"/>
        <v>1900</v>
      </c>
    </row>
    <row r="334" spans="1:1">
      <c r="A334" s="89">
        <f t="shared" si="21"/>
        <v>1900</v>
      </c>
    </row>
    <row r="335" spans="1:1">
      <c r="A335" s="89">
        <f t="shared" si="21"/>
        <v>1900</v>
      </c>
    </row>
    <row r="336" spans="1:1">
      <c r="A336" s="89">
        <f t="shared" si="21"/>
        <v>1900</v>
      </c>
    </row>
    <row r="337" spans="1:1">
      <c r="A337" s="89">
        <f t="shared" si="21"/>
        <v>1900</v>
      </c>
    </row>
    <row r="338" spans="1:1">
      <c r="A338" s="89">
        <f t="shared" si="21"/>
        <v>1900</v>
      </c>
    </row>
    <row r="339" spans="1:1">
      <c r="A339" s="89">
        <f t="shared" si="21"/>
        <v>1900</v>
      </c>
    </row>
    <row r="340" spans="1:1">
      <c r="A340" s="89">
        <f t="shared" si="21"/>
        <v>1900</v>
      </c>
    </row>
    <row r="341" spans="1:1">
      <c r="A341" s="89">
        <f t="shared" si="21"/>
        <v>1900</v>
      </c>
    </row>
    <row r="342" spans="1:1">
      <c r="A342" s="89">
        <f t="shared" si="21"/>
        <v>1900</v>
      </c>
    </row>
    <row r="343" spans="1:1">
      <c r="A343" s="89">
        <f t="shared" si="21"/>
        <v>1900</v>
      </c>
    </row>
    <row r="344" spans="1:1">
      <c r="A344" s="89">
        <f t="shared" si="21"/>
        <v>1900</v>
      </c>
    </row>
    <row r="345" spans="1:1">
      <c r="A345" s="89">
        <f t="shared" si="21"/>
        <v>1900</v>
      </c>
    </row>
    <row r="346" spans="1:1">
      <c r="A346" s="89">
        <f t="shared" si="21"/>
        <v>1900</v>
      </c>
    </row>
    <row r="347" spans="1:1">
      <c r="A347" s="89">
        <f t="shared" si="21"/>
        <v>1900</v>
      </c>
    </row>
    <row r="348" spans="1:1">
      <c r="A348" s="89">
        <f t="shared" si="21"/>
        <v>1900</v>
      </c>
    </row>
    <row r="349" spans="1:1">
      <c r="A349" s="89">
        <f t="shared" si="21"/>
        <v>1900</v>
      </c>
    </row>
    <row r="350" spans="1:1">
      <c r="A350" s="89">
        <f t="shared" si="21"/>
        <v>1900</v>
      </c>
    </row>
    <row r="351" spans="1:1">
      <c r="A351" s="89">
        <f t="shared" si="21"/>
        <v>1900</v>
      </c>
    </row>
    <row r="352" spans="1:1">
      <c r="A352" s="89">
        <f t="shared" si="21"/>
        <v>1900</v>
      </c>
    </row>
    <row r="353" spans="1:1">
      <c r="A353" s="89">
        <f t="shared" si="21"/>
        <v>1900</v>
      </c>
    </row>
    <row r="354" spans="1:1">
      <c r="A354" s="89">
        <f t="shared" si="21"/>
        <v>1900</v>
      </c>
    </row>
    <row r="355" spans="1:1">
      <c r="A355" s="89">
        <f t="shared" si="21"/>
        <v>1900</v>
      </c>
    </row>
    <row r="356" spans="1:1">
      <c r="A356" s="89">
        <f t="shared" si="21"/>
        <v>1900</v>
      </c>
    </row>
    <row r="357" spans="1:1">
      <c r="A357" s="89">
        <f t="shared" si="21"/>
        <v>1900</v>
      </c>
    </row>
    <row r="358" spans="1:1">
      <c r="A358" s="89">
        <f t="shared" si="21"/>
        <v>1900</v>
      </c>
    </row>
    <row r="359" spans="1:1">
      <c r="A359" s="89">
        <f t="shared" si="21"/>
        <v>1900</v>
      </c>
    </row>
    <row r="360" spans="1:1">
      <c r="A360" s="89">
        <f t="shared" si="21"/>
        <v>1900</v>
      </c>
    </row>
    <row r="361" spans="1:1">
      <c r="A361" s="89">
        <f t="shared" si="21"/>
        <v>1900</v>
      </c>
    </row>
    <row r="362" spans="1:1">
      <c r="A362" s="89">
        <f t="shared" si="21"/>
        <v>1900</v>
      </c>
    </row>
    <row r="363" spans="1:1">
      <c r="A363" s="89">
        <f t="shared" si="21"/>
        <v>1900</v>
      </c>
    </row>
    <row r="364" spans="1:1">
      <c r="A364" s="89">
        <f t="shared" si="21"/>
        <v>1900</v>
      </c>
    </row>
    <row r="365" spans="1:1">
      <c r="A365" s="89">
        <f t="shared" si="21"/>
        <v>1900</v>
      </c>
    </row>
    <row r="366" spans="1:1">
      <c r="A366" s="89">
        <f t="shared" si="21"/>
        <v>1900</v>
      </c>
    </row>
    <row r="367" spans="1:1">
      <c r="A367" s="89">
        <f t="shared" si="21"/>
        <v>1900</v>
      </c>
    </row>
    <row r="368" spans="1:1">
      <c r="A368" s="89">
        <f t="shared" si="21"/>
        <v>1900</v>
      </c>
    </row>
    <row r="369" spans="1:1">
      <c r="A369" s="89">
        <f t="shared" si="21"/>
        <v>1900</v>
      </c>
    </row>
    <row r="370" spans="1:1">
      <c r="A370" s="89">
        <f t="shared" si="21"/>
        <v>1900</v>
      </c>
    </row>
    <row r="371" spans="1:1">
      <c r="A371" s="89">
        <f t="shared" si="21"/>
        <v>1900</v>
      </c>
    </row>
    <row r="372" spans="1:1">
      <c r="A372" s="89">
        <f t="shared" si="21"/>
        <v>1900</v>
      </c>
    </row>
    <row r="373" spans="1:1">
      <c r="A373" s="89">
        <f t="shared" si="21"/>
        <v>1900</v>
      </c>
    </row>
    <row r="374" spans="1:1">
      <c r="A374" s="89">
        <f t="shared" si="21"/>
        <v>1900</v>
      </c>
    </row>
    <row r="375" spans="1:1">
      <c r="A375" s="89">
        <f t="shared" si="21"/>
        <v>1900</v>
      </c>
    </row>
    <row r="376" spans="1:1">
      <c r="A376" s="89">
        <f t="shared" si="21"/>
        <v>1900</v>
      </c>
    </row>
    <row r="377" spans="1:1">
      <c r="A377" s="89">
        <f t="shared" si="21"/>
        <v>1900</v>
      </c>
    </row>
    <row r="378" spans="1:1">
      <c r="A378" s="89">
        <f t="shared" si="21"/>
        <v>1900</v>
      </c>
    </row>
    <row r="379" spans="1:1">
      <c r="A379" s="89">
        <f t="shared" si="21"/>
        <v>1900</v>
      </c>
    </row>
    <row r="380" spans="1:1">
      <c r="A380" s="89">
        <f t="shared" si="21"/>
        <v>1900</v>
      </c>
    </row>
    <row r="381" spans="1:1">
      <c r="A381" s="89">
        <f t="shared" si="21"/>
        <v>1900</v>
      </c>
    </row>
    <row r="382" spans="1:1">
      <c r="A382" s="89">
        <f t="shared" si="21"/>
        <v>1900</v>
      </c>
    </row>
    <row r="383" spans="1:1">
      <c r="A383" s="89">
        <f t="shared" si="21"/>
        <v>1900</v>
      </c>
    </row>
    <row r="384" spans="1:1">
      <c r="A384" s="89">
        <f t="shared" si="21"/>
        <v>1900</v>
      </c>
    </row>
    <row r="385" spans="1:1">
      <c r="A385" s="89">
        <f t="shared" si="21"/>
        <v>1900</v>
      </c>
    </row>
    <row r="386" spans="1:1">
      <c r="A386" s="89">
        <f t="shared" si="21"/>
        <v>1900</v>
      </c>
    </row>
    <row r="387" spans="1:1">
      <c r="A387" s="89">
        <f t="shared" si="21"/>
        <v>1900</v>
      </c>
    </row>
    <row r="388" spans="1:1">
      <c r="A388" s="89">
        <f t="shared" si="21"/>
        <v>1900</v>
      </c>
    </row>
    <row r="389" spans="1:1">
      <c r="A389" s="89">
        <f t="shared" si="21"/>
        <v>1900</v>
      </c>
    </row>
    <row r="390" spans="1:1">
      <c r="A390" s="89">
        <f t="shared" si="21"/>
        <v>1900</v>
      </c>
    </row>
    <row r="391" spans="1:1">
      <c r="A391" s="89">
        <f t="shared" si="21"/>
        <v>1900</v>
      </c>
    </row>
    <row r="392" spans="1:1">
      <c r="A392" s="89">
        <f t="shared" ref="A392:A455" si="22">YEAR(B392)</f>
        <v>1900</v>
      </c>
    </row>
    <row r="393" spans="1:1">
      <c r="A393" s="89">
        <f t="shared" si="22"/>
        <v>1900</v>
      </c>
    </row>
    <row r="394" spans="1:1">
      <c r="A394" s="89">
        <f t="shared" si="22"/>
        <v>1900</v>
      </c>
    </row>
    <row r="395" spans="1:1">
      <c r="A395" s="89">
        <f t="shared" si="22"/>
        <v>1900</v>
      </c>
    </row>
    <row r="396" spans="1:1">
      <c r="A396" s="89">
        <f t="shared" si="22"/>
        <v>1900</v>
      </c>
    </row>
    <row r="397" spans="1:1">
      <c r="A397" s="89">
        <f t="shared" si="22"/>
        <v>1900</v>
      </c>
    </row>
    <row r="398" spans="1:1">
      <c r="A398" s="89">
        <f t="shared" si="22"/>
        <v>1900</v>
      </c>
    </row>
    <row r="399" spans="1:1">
      <c r="A399" s="89">
        <f t="shared" si="22"/>
        <v>1900</v>
      </c>
    </row>
    <row r="400" spans="1:1">
      <c r="A400" s="89">
        <f t="shared" si="22"/>
        <v>1900</v>
      </c>
    </row>
    <row r="401" spans="1:1">
      <c r="A401" s="89">
        <f t="shared" si="22"/>
        <v>1900</v>
      </c>
    </row>
    <row r="402" spans="1:1">
      <c r="A402" s="89">
        <f t="shared" si="22"/>
        <v>1900</v>
      </c>
    </row>
    <row r="403" spans="1:1">
      <c r="A403" s="89">
        <f t="shared" si="22"/>
        <v>1900</v>
      </c>
    </row>
    <row r="404" spans="1:1">
      <c r="A404" s="89">
        <f t="shared" si="22"/>
        <v>1900</v>
      </c>
    </row>
    <row r="405" spans="1:1">
      <c r="A405" s="89">
        <f t="shared" si="22"/>
        <v>1900</v>
      </c>
    </row>
    <row r="406" spans="1:1">
      <c r="A406" s="89">
        <f t="shared" si="22"/>
        <v>1900</v>
      </c>
    </row>
    <row r="407" spans="1:1">
      <c r="A407" s="89">
        <f t="shared" si="22"/>
        <v>1900</v>
      </c>
    </row>
    <row r="408" spans="1:1">
      <c r="A408" s="89">
        <f t="shared" si="22"/>
        <v>1900</v>
      </c>
    </row>
    <row r="409" spans="1:1">
      <c r="A409" s="89">
        <f t="shared" si="22"/>
        <v>1900</v>
      </c>
    </row>
    <row r="410" spans="1:1">
      <c r="A410" s="89">
        <f t="shared" si="22"/>
        <v>1900</v>
      </c>
    </row>
    <row r="411" spans="1:1">
      <c r="A411" s="89">
        <f t="shared" si="22"/>
        <v>1900</v>
      </c>
    </row>
    <row r="412" spans="1:1">
      <c r="A412" s="89">
        <f t="shared" si="22"/>
        <v>1900</v>
      </c>
    </row>
    <row r="413" spans="1:1">
      <c r="A413" s="89">
        <f t="shared" si="22"/>
        <v>1900</v>
      </c>
    </row>
    <row r="414" spans="1:1">
      <c r="A414" s="89">
        <f t="shared" si="22"/>
        <v>1900</v>
      </c>
    </row>
    <row r="415" spans="1:1">
      <c r="A415" s="89">
        <f t="shared" si="22"/>
        <v>1900</v>
      </c>
    </row>
    <row r="416" spans="1:1">
      <c r="A416" s="89">
        <f t="shared" si="22"/>
        <v>1900</v>
      </c>
    </row>
    <row r="417" spans="1:1">
      <c r="A417" s="89">
        <f t="shared" si="22"/>
        <v>1900</v>
      </c>
    </row>
    <row r="418" spans="1:1">
      <c r="A418" s="89">
        <f t="shared" si="22"/>
        <v>1900</v>
      </c>
    </row>
    <row r="419" spans="1:1">
      <c r="A419" s="89">
        <f t="shared" si="22"/>
        <v>1900</v>
      </c>
    </row>
    <row r="420" spans="1:1">
      <c r="A420" s="89">
        <f t="shared" si="22"/>
        <v>1900</v>
      </c>
    </row>
    <row r="421" spans="1:1">
      <c r="A421" s="89">
        <f t="shared" si="22"/>
        <v>1900</v>
      </c>
    </row>
    <row r="422" spans="1:1">
      <c r="A422" s="89">
        <f t="shared" si="22"/>
        <v>1900</v>
      </c>
    </row>
    <row r="423" spans="1:1">
      <c r="A423" s="89">
        <f t="shared" si="22"/>
        <v>1900</v>
      </c>
    </row>
    <row r="424" spans="1:1">
      <c r="A424" s="89">
        <f t="shared" si="22"/>
        <v>1900</v>
      </c>
    </row>
    <row r="425" spans="1:1">
      <c r="A425" s="89">
        <f t="shared" si="22"/>
        <v>1900</v>
      </c>
    </row>
    <row r="426" spans="1:1">
      <c r="A426" s="89">
        <f t="shared" si="22"/>
        <v>1900</v>
      </c>
    </row>
    <row r="427" spans="1:1">
      <c r="A427" s="89">
        <f t="shared" si="22"/>
        <v>1900</v>
      </c>
    </row>
    <row r="428" spans="1:1">
      <c r="A428" s="89">
        <f t="shared" si="22"/>
        <v>1900</v>
      </c>
    </row>
    <row r="429" spans="1:1">
      <c r="A429" s="89">
        <f t="shared" si="22"/>
        <v>1900</v>
      </c>
    </row>
    <row r="430" spans="1:1">
      <c r="A430" s="89">
        <f t="shared" si="22"/>
        <v>1900</v>
      </c>
    </row>
    <row r="431" spans="1:1">
      <c r="A431" s="89">
        <f t="shared" si="22"/>
        <v>1900</v>
      </c>
    </row>
    <row r="432" spans="1:1">
      <c r="A432" s="89">
        <f t="shared" si="22"/>
        <v>1900</v>
      </c>
    </row>
    <row r="433" spans="1:1">
      <c r="A433" s="89">
        <f t="shared" si="22"/>
        <v>1900</v>
      </c>
    </row>
    <row r="434" spans="1:1">
      <c r="A434" s="89">
        <f t="shared" si="22"/>
        <v>1900</v>
      </c>
    </row>
    <row r="435" spans="1:1">
      <c r="A435" s="89">
        <f t="shared" si="22"/>
        <v>1900</v>
      </c>
    </row>
    <row r="436" spans="1:1">
      <c r="A436" s="89">
        <f t="shared" si="22"/>
        <v>1900</v>
      </c>
    </row>
    <row r="437" spans="1:1">
      <c r="A437" s="89">
        <f t="shared" si="22"/>
        <v>1900</v>
      </c>
    </row>
    <row r="438" spans="1:1">
      <c r="A438" s="89">
        <f t="shared" si="22"/>
        <v>1900</v>
      </c>
    </row>
    <row r="439" spans="1:1">
      <c r="A439" s="89">
        <f t="shared" si="22"/>
        <v>1900</v>
      </c>
    </row>
    <row r="440" spans="1:1">
      <c r="A440" s="89">
        <f t="shared" si="22"/>
        <v>1900</v>
      </c>
    </row>
    <row r="441" spans="1:1">
      <c r="A441" s="89">
        <f t="shared" si="22"/>
        <v>1900</v>
      </c>
    </row>
    <row r="442" spans="1:1">
      <c r="A442" s="89">
        <f t="shared" si="22"/>
        <v>1900</v>
      </c>
    </row>
    <row r="443" spans="1:1">
      <c r="A443" s="89">
        <f t="shared" si="22"/>
        <v>1900</v>
      </c>
    </row>
    <row r="444" spans="1:1">
      <c r="A444" s="89">
        <f t="shared" si="22"/>
        <v>1900</v>
      </c>
    </row>
    <row r="445" spans="1:1">
      <c r="A445" s="89">
        <f t="shared" si="22"/>
        <v>1900</v>
      </c>
    </row>
    <row r="446" spans="1:1">
      <c r="A446" s="89">
        <f t="shared" si="22"/>
        <v>1900</v>
      </c>
    </row>
    <row r="447" spans="1:1">
      <c r="A447" s="89">
        <f t="shared" si="22"/>
        <v>1900</v>
      </c>
    </row>
    <row r="448" spans="1:1">
      <c r="A448" s="89">
        <f t="shared" si="22"/>
        <v>1900</v>
      </c>
    </row>
    <row r="449" spans="1:1">
      <c r="A449" s="89">
        <f t="shared" si="22"/>
        <v>1900</v>
      </c>
    </row>
    <row r="450" spans="1:1">
      <c r="A450" s="89">
        <f t="shared" si="22"/>
        <v>1900</v>
      </c>
    </row>
    <row r="451" spans="1:1">
      <c r="A451" s="89">
        <f t="shared" si="22"/>
        <v>1900</v>
      </c>
    </row>
    <row r="452" spans="1:1">
      <c r="A452" s="89">
        <f t="shared" si="22"/>
        <v>1900</v>
      </c>
    </row>
    <row r="453" spans="1:1">
      <c r="A453" s="89">
        <f t="shared" si="22"/>
        <v>1900</v>
      </c>
    </row>
    <row r="454" spans="1:1">
      <c r="A454" s="89">
        <f t="shared" si="22"/>
        <v>1900</v>
      </c>
    </row>
    <row r="455" spans="1:1">
      <c r="A455" s="89">
        <f t="shared" si="22"/>
        <v>1900</v>
      </c>
    </row>
    <row r="456" spans="1:1">
      <c r="A456" s="89">
        <f t="shared" ref="A456:A507" si="23">YEAR(B456)</f>
        <v>1900</v>
      </c>
    </row>
    <row r="457" spans="1:1">
      <c r="A457" s="89">
        <f t="shared" si="23"/>
        <v>1900</v>
      </c>
    </row>
    <row r="458" spans="1:1">
      <c r="A458" s="89">
        <f t="shared" si="23"/>
        <v>1900</v>
      </c>
    </row>
    <row r="459" spans="1:1">
      <c r="A459" s="89">
        <f t="shared" si="23"/>
        <v>1900</v>
      </c>
    </row>
    <row r="460" spans="1:1">
      <c r="A460" s="89">
        <f t="shared" si="23"/>
        <v>1900</v>
      </c>
    </row>
    <row r="461" spans="1:1">
      <c r="A461" s="89">
        <f t="shared" si="23"/>
        <v>1900</v>
      </c>
    </row>
    <row r="462" spans="1:1">
      <c r="A462" s="89">
        <f t="shared" si="23"/>
        <v>1900</v>
      </c>
    </row>
    <row r="463" spans="1:1">
      <c r="A463" s="89">
        <f t="shared" si="23"/>
        <v>1900</v>
      </c>
    </row>
    <row r="464" spans="1:1">
      <c r="A464" s="89">
        <f t="shared" si="23"/>
        <v>1900</v>
      </c>
    </row>
    <row r="465" spans="1:1">
      <c r="A465" s="89">
        <f t="shared" si="23"/>
        <v>1900</v>
      </c>
    </row>
    <row r="466" spans="1:1">
      <c r="A466" s="89">
        <f t="shared" si="23"/>
        <v>1900</v>
      </c>
    </row>
    <row r="467" spans="1:1">
      <c r="A467" s="89">
        <f t="shared" si="23"/>
        <v>1900</v>
      </c>
    </row>
    <row r="468" spans="1:1">
      <c r="A468" s="89">
        <f t="shared" si="23"/>
        <v>1900</v>
      </c>
    </row>
    <row r="469" spans="1:1">
      <c r="A469" s="89">
        <f t="shared" si="23"/>
        <v>1900</v>
      </c>
    </row>
    <row r="470" spans="1:1">
      <c r="A470" s="89">
        <f t="shared" si="23"/>
        <v>1900</v>
      </c>
    </row>
    <row r="471" spans="1:1">
      <c r="A471" s="89">
        <f t="shared" si="23"/>
        <v>1900</v>
      </c>
    </row>
    <row r="472" spans="1:1">
      <c r="A472" s="89">
        <f t="shared" si="23"/>
        <v>1900</v>
      </c>
    </row>
    <row r="473" spans="1:1">
      <c r="A473" s="89">
        <f t="shared" si="23"/>
        <v>1900</v>
      </c>
    </row>
    <row r="474" spans="1:1">
      <c r="A474" s="89">
        <f t="shared" si="23"/>
        <v>1900</v>
      </c>
    </row>
    <row r="475" spans="1:1">
      <c r="A475" s="89">
        <f t="shared" si="23"/>
        <v>1900</v>
      </c>
    </row>
    <row r="476" spans="1:1">
      <c r="A476" s="89">
        <f t="shared" si="23"/>
        <v>1900</v>
      </c>
    </row>
    <row r="477" spans="1:1">
      <c r="A477" s="89">
        <f t="shared" si="23"/>
        <v>1900</v>
      </c>
    </row>
    <row r="478" spans="1:1">
      <c r="A478" s="89">
        <f t="shared" si="23"/>
        <v>1900</v>
      </c>
    </row>
    <row r="479" spans="1:1">
      <c r="A479" s="89">
        <f t="shared" si="23"/>
        <v>1900</v>
      </c>
    </row>
    <row r="480" spans="1:1">
      <c r="A480" s="89">
        <f t="shared" si="23"/>
        <v>1900</v>
      </c>
    </row>
    <row r="481" spans="1:1">
      <c r="A481" s="89">
        <f t="shared" si="23"/>
        <v>1900</v>
      </c>
    </row>
    <row r="482" spans="1:1">
      <c r="A482" s="89">
        <f t="shared" si="23"/>
        <v>1900</v>
      </c>
    </row>
    <row r="483" spans="1:1">
      <c r="A483" s="89">
        <f t="shared" si="23"/>
        <v>1900</v>
      </c>
    </row>
    <row r="484" spans="1:1">
      <c r="A484" s="89">
        <f t="shared" si="23"/>
        <v>1900</v>
      </c>
    </row>
    <row r="485" spans="1:1">
      <c r="A485" s="89">
        <f t="shared" si="23"/>
        <v>1900</v>
      </c>
    </row>
    <row r="486" spans="1:1">
      <c r="A486" s="89">
        <f t="shared" si="23"/>
        <v>1900</v>
      </c>
    </row>
    <row r="487" spans="1:1">
      <c r="A487" s="89">
        <f t="shared" si="23"/>
        <v>1900</v>
      </c>
    </row>
    <row r="488" spans="1:1">
      <c r="A488" s="89">
        <f t="shared" si="23"/>
        <v>1900</v>
      </c>
    </row>
    <row r="489" spans="1:1">
      <c r="A489" s="89">
        <f t="shared" si="23"/>
        <v>1900</v>
      </c>
    </row>
    <row r="490" spans="1:1">
      <c r="A490" s="89">
        <f t="shared" si="23"/>
        <v>1900</v>
      </c>
    </row>
    <row r="491" spans="1:1">
      <c r="A491" s="89">
        <f t="shared" si="23"/>
        <v>1900</v>
      </c>
    </row>
    <row r="492" spans="1:1">
      <c r="A492" s="89">
        <f t="shared" si="23"/>
        <v>1900</v>
      </c>
    </row>
    <row r="493" spans="1:1">
      <c r="A493" s="89">
        <f t="shared" si="23"/>
        <v>1900</v>
      </c>
    </row>
    <row r="494" spans="1:1">
      <c r="A494" s="89">
        <f t="shared" si="23"/>
        <v>1900</v>
      </c>
    </row>
    <row r="495" spans="1:1">
      <c r="A495" s="89">
        <f t="shared" si="23"/>
        <v>1900</v>
      </c>
    </row>
    <row r="496" spans="1:1">
      <c r="A496" s="89">
        <f t="shared" si="23"/>
        <v>1900</v>
      </c>
    </row>
    <row r="497" spans="1:1">
      <c r="A497" s="89">
        <f t="shared" si="23"/>
        <v>1900</v>
      </c>
    </row>
    <row r="498" spans="1:1">
      <c r="A498" s="89">
        <f t="shared" si="23"/>
        <v>1900</v>
      </c>
    </row>
    <row r="499" spans="1:1">
      <c r="A499" s="89">
        <f t="shared" si="23"/>
        <v>1900</v>
      </c>
    </row>
    <row r="500" spans="1:1">
      <c r="A500" s="89">
        <f t="shared" si="23"/>
        <v>1900</v>
      </c>
    </row>
    <row r="501" spans="1:1">
      <c r="A501" s="89">
        <f t="shared" si="23"/>
        <v>1900</v>
      </c>
    </row>
    <row r="502" spans="1:1">
      <c r="A502" s="89">
        <f t="shared" si="23"/>
        <v>1900</v>
      </c>
    </row>
    <row r="503" spans="1:1">
      <c r="A503" s="89">
        <f t="shared" si="23"/>
        <v>1900</v>
      </c>
    </row>
    <row r="504" spans="1:1">
      <c r="A504" s="89">
        <f t="shared" si="23"/>
        <v>1900</v>
      </c>
    </row>
    <row r="505" spans="1:1">
      <c r="A505" s="89">
        <f t="shared" si="23"/>
        <v>1900</v>
      </c>
    </row>
    <row r="506" spans="1:1">
      <c r="A506" s="89">
        <f t="shared" si="23"/>
        <v>1900</v>
      </c>
    </row>
    <row r="507" spans="1:1">
      <c r="A507" s="89">
        <f t="shared" si="23"/>
        <v>1900</v>
      </c>
    </row>
  </sheetData>
  <mergeCells count="4">
    <mergeCell ref="B5:F5"/>
    <mergeCell ref="I5:M5"/>
    <mergeCell ref="O5:S5"/>
    <mergeCell ref="J38:M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7"/>
  <sheetViews>
    <sheetView topLeftCell="B1" zoomScaleNormal="100" workbookViewId="0">
      <selection activeCell="B1" sqref="B1"/>
    </sheetView>
  </sheetViews>
  <sheetFormatPr defaultRowHeight="15"/>
  <cols>
    <col min="1" max="1" width="9.140625" style="89" hidden="1" customWidth="1"/>
    <col min="2" max="2" width="13.140625" style="428" bestFit="1" customWidth="1"/>
    <col min="3" max="3" width="17.28515625" style="428" bestFit="1" customWidth="1"/>
    <col min="4" max="5" width="16.28515625" style="428" customWidth="1"/>
    <col min="6" max="6" width="19.7109375" style="428" customWidth="1"/>
    <col min="7" max="7" width="2.85546875" style="428" customWidth="1"/>
    <col min="8" max="8" width="3" style="428" customWidth="1"/>
    <col min="9" max="9" width="10.7109375" style="428" bestFit="1" customWidth="1"/>
    <col min="10" max="10" width="17.28515625" style="428" bestFit="1" customWidth="1"/>
    <col min="11" max="11" width="15.5703125" style="428" bestFit="1" customWidth="1"/>
    <col min="12" max="12" width="15.42578125" style="428" customWidth="1"/>
    <col min="13" max="13" width="17.85546875" style="428" bestFit="1" customWidth="1"/>
    <col min="14" max="14" width="3.42578125" style="428" customWidth="1"/>
    <col min="15" max="15" width="9.85546875" style="428" bestFit="1" customWidth="1"/>
    <col min="16" max="16" width="17.28515625" style="428" bestFit="1" customWidth="1"/>
    <col min="17" max="17" width="15.5703125" style="428" bestFit="1" customWidth="1"/>
    <col min="18" max="18" width="19.42578125" style="428" bestFit="1" customWidth="1"/>
    <col min="19" max="19" width="17.85546875" style="428" bestFit="1" customWidth="1"/>
    <col min="20" max="16384" width="9.140625" style="428"/>
  </cols>
  <sheetData>
    <row r="1" spans="1:33">
      <c r="I1" s="550">
        <f>(LARGE(B7:B507,1))</f>
        <v>42705</v>
      </c>
    </row>
    <row r="2" spans="1:33">
      <c r="I2" s="550">
        <f>MATCH(I1,B7:B507,0)+6</f>
        <v>72</v>
      </c>
    </row>
    <row r="3" spans="1:33">
      <c r="I3" s="434" t="str">
        <f ca="1">IF(MONTH(INDIRECT(CONCATENATE("B",I2)))=12, "Calendar Year", "Financial year")</f>
        <v>Calendar Year</v>
      </c>
    </row>
    <row r="5" spans="1:33" ht="15.75" thickBot="1">
      <c r="B5" s="15" t="s">
        <v>584</v>
      </c>
      <c r="C5" s="15"/>
      <c r="D5" s="15"/>
      <c r="E5" s="15"/>
      <c r="F5" s="15"/>
      <c r="I5" s="15" t="s">
        <v>581</v>
      </c>
      <c r="J5" s="15"/>
      <c r="K5" s="15"/>
      <c r="L5" s="15"/>
      <c r="M5" s="15"/>
      <c r="N5" s="109"/>
      <c r="O5" s="15" t="s">
        <v>582</v>
      </c>
      <c r="P5" s="15"/>
      <c r="Q5" s="15"/>
      <c r="R5" s="15"/>
      <c r="S5" s="15"/>
    </row>
    <row r="6" spans="1:33" ht="44.25" customHeight="1" thickBot="1">
      <c r="B6" s="90" t="s">
        <v>40</v>
      </c>
      <c r="C6" s="91" t="s">
        <v>74</v>
      </c>
      <c r="D6" s="91" t="s">
        <v>75</v>
      </c>
      <c r="E6" s="91" t="s">
        <v>585</v>
      </c>
      <c r="F6" s="92" t="s">
        <v>76</v>
      </c>
      <c r="G6" s="433"/>
      <c r="H6" s="433"/>
      <c r="I6" s="57" t="s">
        <v>86</v>
      </c>
      <c r="J6" s="91" t="s">
        <v>74</v>
      </c>
      <c r="K6" s="91" t="s">
        <v>75</v>
      </c>
      <c r="L6" s="91" t="s">
        <v>585</v>
      </c>
      <c r="M6" s="92" t="s">
        <v>76</v>
      </c>
      <c r="N6" s="111"/>
      <c r="O6" s="40" t="s">
        <v>86</v>
      </c>
      <c r="P6" s="91" t="s">
        <v>74</v>
      </c>
      <c r="Q6" s="91" t="s">
        <v>75</v>
      </c>
      <c r="R6" s="91" t="s">
        <v>585</v>
      </c>
      <c r="S6" s="92" t="s">
        <v>76</v>
      </c>
      <c r="T6" s="433"/>
      <c r="U6" s="433"/>
      <c r="V6" s="433"/>
      <c r="W6" s="433"/>
      <c r="X6" s="433"/>
      <c r="Y6" s="433"/>
      <c r="Z6" s="433"/>
      <c r="AA6" s="433"/>
      <c r="AB6" s="433"/>
      <c r="AC6" s="433"/>
      <c r="AD6" s="433"/>
      <c r="AE6" s="433"/>
      <c r="AF6" s="433"/>
      <c r="AG6" s="433"/>
    </row>
    <row r="7" spans="1:33">
      <c r="A7" s="89">
        <f>YEAR(B7)</f>
        <v>2000</v>
      </c>
      <c r="B7" s="69">
        <v>36770</v>
      </c>
      <c r="C7" s="311">
        <v>1017</v>
      </c>
      <c r="D7" s="311">
        <v>10811</v>
      </c>
      <c r="E7" s="102">
        <f>C7/F7</f>
        <v>8.5982414609401425E-2</v>
      </c>
      <c r="F7" s="307">
        <v>11828</v>
      </c>
      <c r="I7" s="94">
        <f t="shared" ref="I7:I14" si="0">I8-1</f>
        <v>2007</v>
      </c>
      <c r="J7" s="98">
        <f t="shared" ref="J7:J16" si="1">SUMIF($A$7:$A$507,$I7,C$7:C$507)</f>
        <v>23450</v>
      </c>
      <c r="K7" s="98">
        <f>M7-J7</f>
        <v>69986</v>
      </c>
      <c r="L7" s="105">
        <f>J7/M7</f>
        <v>0.25097392867845369</v>
      </c>
      <c r="M7" s="112">
        <f t="shared" ref="M7:M16" si="2">SUMIF($A$7:$A$507,$I7,F$7:F$507)</f>
        <v>93436</v>
      </c>
      <c r="N7" s="110"/>
      <c r="O7" s="94" t="str">
        <f t="shared" ref="O7:O16" ca="1" si="3">IF($I$3="Calendar Year",CONCATENATE(I7-1,"-",I7),CONCATENATE(I7,"-",I7+1))</f>
        <v>2006-2007</v>
      </c>
      <c r="P7" s="98">
        <f ca="1">IF($I$3="Calendar Year",SUMIF($B$7:$B$507,LARGE($B$7:$B$507,39),C$7:C$507)+SUMIF($B$7:$B$507,LARGE($B$7:$B$507,40),C$7:C$507)+SUMIF($B$7:$B$507,LARGE($B$7:$B$507,41),C$7:C$507)+SUMIF($B$7:$B$507,LARGE($B$7:$B$507,42),C$7:C$507),SUMIF($B$7:$B$507,LARGE($B$7:$B$507,37),C$7:C$507)+SUMIF($B$7:$B$507,LARGE($B$7:$B$507,38),C$7:C$507)+SUMIF($B$7:$B$507,LARGE($B$7:$B$507,39),C$7:C$507)+SUMIF($B$7:$B$507,LARGE($B$7:$B$507,40),C$7:C$507))</f>
        <v>21275</v>
      </c>
      <c r="Q7" s="98">
        <f ca="1">S7-P7</f>
        <v>66200</v>
      </c>
      <c r="R7" s="105">
        <f ca="1">P7/S7</f>
        <v>0.24321234638468134</v>
      </c>
      <c r="S7" s="117">
        <f ca="1">IF($I$3="Calendar Year",SUMIF($B$7:$B$507,LARGE($B$7:$B$507,39),F$7:F$507)+SUMIF($B$7:$B$507,LARGE($B$7:$B$507,40),F$7:F$507)+SUMIF($B$7:$B$507,LARGE($B$7:$B$507,41),F$7:F$507)+SUMIF($B$7:$B$507,LARGE($B$7:$B$507,42),F$7:F$507),SUMIF($B$7:$B$507,LARGE($B$7:$B$507,37),F$7:F$507)+SUMIF($B$7:$B$507,LARGE($B$7:$B$507,38),F$7:F$507)+SUMIF($B$7:$B$507,LARGE($B$7:$B$507,39),F$7:F$507)+SUMIF($B$7:$B$507,LARGE($B$7:$B$507,40),F$7:F$507))</f>
        <v>87475</v>
      </c>
    </row>
    <row r="8" spans="1:33">
      <c r="A8" s="89">
        <f t="shared" ref="A8:A71" si="4">YEAR(B8)</f>
        <v>2000</v>
      </c>
      <c r="B8" s="69">
        <v>36861</v>
      </c>
      <c r="C8" s="312">
        <v>1477</v>
      </c>
      <c r="D8" s="312">
        <v>10942</v>
      </c>
      <c r="E8" s="103">
        <f t="shared" ref="E8:E70" si="5">C8/F8</f>
        <v>0.11893067074643691</v>
      </c>
      <c r="F8" s="308">
        <v>12419</v>
      </c>
      <c r="I8" s="95">
        <f t="shared" si="0"/>
        <v>2008</v>
      </c>
      <c r="J8" s="99">
        <f t="shared" si="1"/>
        <v>29739</v>
      </c>
      <c r="K8" s="99">
        <f t="shared" ref="K8:K16" si="6">M8-J8</f>
        <v>77137</v>
      </c>
      <c r="L8" s="106">
        <f t="shared" ref="L8:L16" si="7">J8/M8</f>
        <v>0.27825704554811181</v>
      </c>
      <c r="M8" s="113">
        <f t="shared" si="2"/>
        <v>106876</v>
      </c>
      <c r="N8" s="110"/>
      <c r="O8" s="95" t="str">
        <f t="shared" ca="1" si="3"/>
        <v>2007-2008</v>
      </c>
      <c r="P8" s="99">
        <f ca="1">IF($I$3="Calendar Year",SUMIF($B$7:$B$507,LARGE($B$7:$B$507,35),C$7:C$507)+SUMIF($B$7:$B$507,LARGE($B$7:$B$507,36),C$7:C$507)+SUMIF($B$7:$B$507,LARGE($B$7:$B$507,37),C$7:C$507)+SUMIF($B$7:$B$507,LARGE($B$7:$B$507,38),C$7:C$507),SUMIF($B$7:$B$507,LARGE($B$7:$B$507,33),C$7:C$507)+SUMIF($B$7:$B$507,LARGE($B$7:$B$507,34),C$7:C$507)+SUMIF($B$7:$B$507,LARGE($B$7:$B$507,35),C$7:C$507)+SUMIF($B$7:$B$507,LARGE($B$7:$B$507,36),C$7:C$507))</f>
        <v>25124</v>
      </c>
      <c r="Q8" s="99">
        <f t="shared" ref="Q8:Q16" ca="1" si="8">S8-P8</f>
        <v>71709</v>
      </c>
      <c r="R8" s="106">
        <f t="shared" ref="R8:R16" ca="1" si="9">P8/S8</f>
        <v>0.25945700329433147</v>
      </c>
      <c r="S8" s="118">
        <f ca="1">IF($I$3="Calendar Year",SUMIF($B$7:$B$507,LARGE($B$7:$B$507,35),F$7:F$507)+SUMIF($B$7:$B$507,LARGE($B$7:$B$507,36),F$7:F$507)+SUMIF($B$7:$B$507,LARGE($B$7:$B$507,37),F$7:F$507)+SUMIF($B$7:$B$507,LARGE($B$7:$B$507,38),F$7:F$507),SUMIF($B$7:$B$507,LARGE($B$7:$B$507,33),F$7:F$507)+SUMIF($B$7:$B$507,LARGE($B$7:$B$507,34),F$7:F$507)+SUMIF($B$7:$B$507,LARGE($B$7:$B$507,35),F$7:F$507)+SUMIF($B$7:$B$507,LARGE($B$7:$B$507,36),F$7:F$507))</f>
        <v>96833</v>
      </c>
    </row>
    <row r="9" spans="1:33">
      <c r="A9" s="89">
        <f t="shared" si="4"/>
        <v>2001</v>
      </c>
      <c r="B9" s="69">
        <v>36951</v>
      </c>
      <c r="C9" s="311">
        <v>1587</v>
      </c>
      <c r="D9" s="311">
        <v>9106</v>
      </c>
      <c r="E9" s="102">
        <f t="shared" si="5"/>
        <v>0.14841485083699615</v>
      </c>
      <c r="F9" s="307">
        <v>10693</v>
      </c>
      <c r="I9" s="96">
        <f t="shared" si="0"/>
        <v>2009</v>
      </c>
      <c r="J9" s="100">
        <f t="shared" si="1"/>
        <v>31378</v>
      </c>
      <c r="K9" s="100">
        <f t="shared" si="6"/>
        <v>78869</v>
      </c>
      <c r="L9" s="107">
        <f t="shared" si="7"/>
        <v>0.28461545438878155</v>
      </c>
      <c r="M9" s="114">
        <f t="shared" si="2"/>
        <v>110247</v>
      </c>
      <c r="N9" s="110"/>
      <c r="O9" s="96" t="str">
        <f t="shared" ca="1" si="3"/>
        <v>2008-2009</v>
      </c>
      <c r="P9" s="100">
        <f ca="1">IF($I$3="Calendar Year",SUMIF($B$7:$B$507,LARGE($B$7:$B$507,31),C$7:C$507)+SUMIF($B$7:$B$507,LARGE($B$7:$B$507,32),C$7:C$507)+SUMIF($B$7:$B$507,LARGE($B$7:$B$507,33),C$7:C$507)+SUMIF($B$7:$B$507,LARGE($B$7:$B$507,34),C$7:C$507),SUMIF($B$7:$B$507,LARGE($B$7:$B$507,29),C$7:C$507)+SUMIF($B$7:$B$507,LARGE($B$7:$B$507,30),C$7:C$507)+SUMIF($B$7:$B$507,LARGE($B$7:$B$507,31),C$7:C$507)+SUMIF($B$7:$B$507,LARGE($B$7:$B$507,32),C$7:C$507))</f>
        <v>32988</v>
      </c>
      <c r="Q9" s="100">
        <f t="shared" ca="1" si="8"/>
        <v>80213</v>
      </c>
      <c r="R9" s="107">
        <f t="shared" ca="1" si="9"/>
        <v>0.29141085326101357</v>
      </c>
      <c r="S9" s="119">
        <f ca="1">IF($I$3="Calendar Year",SUMIF($B$7:$B$507,LARGE($B$7:$B$507,31),F$7:F$507)+SUMIF($B$7:$B$507,LARGE($B$7:$B$507,32),F$7:F$507)+SUMIF($B$7:$B$507,LARGE($B$7:$B$507,33),F$7:F$507)+SUMIF($B$7:$B$507,LARGE($B$7:$B$507,34),F$7:F$507),SUMIF($B$7:$B$507,LARGE($B$7:$B$507,29),F$7:F$507)+SUMIF($B$7:$B$507,LARGE($B$7:$B$507,30),F$7:F$507)+SUMIF($B$7:$B$507,LARGE($B$7:$B$507,31),F$7:F$507)+SUMIF($B$7:$B$507,LARGE($B$7:$B$507,32),F$7:F$507))</f>
        <v>113201</v>
      </c>
    </row>
    <row r="10" spans="1:33">
      <c r="A10" s="89">
        <f t="shared" si="4"/>
        <v>2001</v>
      </c>
      <c r="B10" s="69">
        <v>37043</v>
      </c>
      <c r="C10" s="312">
        <v>1559</v>
      </c>
      <c r="D10" s="312">
        <v>10872</v>
      </c>
      <c r="E10" s="103">
        <f t="shared" si="5"/>
        <v>0.1254122757622074</v>
      </c>
      <c r="F10" s="308">
        <v>12431</v>
      </c>
      <c r="I10" s="95">
        <f t="shared" si="0"/>
        <v>2010</v>
      </c>
      <c r="J10" s="99">
        <f t="shared" si="1"/>
        <v>33060</v>
      </c>
      <c r="K10" s="99">
        <f t="shared" si="6"/>
        <v>77368</v>
      </c>
      <c r="L10" s="106">
        <f t="shared" si="7"/>
        <v>0.29938059187887128</v>
      </c>
      <c r="M10" s="113">
        <f t="shared" si="2"/>
        <v>110428</v>
      </c>
      <c r="N10" s="110"/>
      <c r="O10" s="95" t="str">
        <f t="shared" ca="1" si="3"/>
        <v>2009-2010</v>
      </c>
      <c r="P10" s="99">
        <f ca="1">IF($I$3="Calendar Year",SUMIF($B$7:$B$507,LARGE($B$7:$B$507,27),C$7:C$507)+SUMIF($B$7:$B$507,LARGE($B$7:$B$507,28),C$7:C$507)+SUMIF($B$7:$B$507,LARGE($B$7:$B$507,29),C$7:C$507)+SUMIF($B$7:$B$507,LARGE($B$7:$B$507,30),C$7:C$507),SUMIF($B$7:$B$507,LARGE($B$7:$B$507,25),C$7:C$507)+SUMIF($B$7:$B$507,LARGE($B$7:$B$507,26),C$7:C$507)+SUMIF($B$7:$B$507,LARGE($B$7:$B$507,27),C$7:C$507)+SUMIF($B$7:$B$507,LARGE($B$7:$B$507,28),C$7:C$507))</f>
        <v>30601</v>
      </c>
      <c r="Q10" s="99">
        <f t="shared" ca="1" si="8"/>
        <v>76503</v>
      </c>
      <c r="R10" s="106">
        <f t="shared" ca="1" si="9"/>
        <v>0.2857129518972214</v>
      </c>
      <c r="S10" s="118">
        <f ca="1">IF($I$3="Calendar Year",SUMIF($B$7:$B$507,LARGE($B$7:$B$507,27),F$7:F$507)+SUMIF($B$7:$B$507,LARGE($B$7:$B$507,28),F$7:F$507)+SUMIF($B$7:$B$507,LARGE($B$7:$B$507,29),F$7:F$507)+SUMIF($B$7:$B$507,LARGE($B$7:$B$507,30),F$7:F$507),SUMIF($B$7:$B$507,LARGE($B$7:$B$507,25),F$7:F$507)+SUMIF($B$7:$B$507,LARGE($B$7:$B$507,26),F$7:F$507)+SUMIF($B$7:$B$507,LARGE($B$7:$B$507,27),F$7:F$507)+SUMIF($B$7:$B$507,LARGE($B$7:$B$507,28),F$7:F$507))</f>
        <v>107104</v>
      </c>
    </row>
    <row r="11" spans="1:33">
      <c r="A11" s="89">
        <f t="shared" si="4"/>
        <v>2001</v>
      </c>
      <c r="B11" s="69">
        <v>37135</v>
      </c>
      <c r="C11" s="311">
        <v>1591</v>
      </c>
      <c r="D11" s="311">
        <v>9947</v>
      </c>
      <c r="E11" s="102">
        <f t="shared" si="5"/>
        <v>0.13789218235396083</v>
      </c>
      <c r="F11" s="307">
        <v>11538</v>
      </c>
      <c r="I11" s="96">
        <f t="shared" si="0"/>
        <v>2011</v>
      </c>
      <c r="J11" s="100">
        <f t="shared" si="1"/>
        <v>44871</v>
      </c>
      <c r="K11" s="100">
        <f t="shared" si="6"/>
        <v>91872</v>
      </c>
      <c r="L11" s="107">
        <f t="shared" si="7"/>
        <v>0.32814111142800728</v>
      </c>
      <c r="M11" s="114">
        <f t="shared" si="2"/>
        <v>136743</v>
      </c>
      <c r="N11" s="110"/>
      <c r="O11" s="96" t="str">
        <f t="shared" ca="1" si="3"/>
        <v>2010-2011</v>
      </c>
      <c r="P11" s="100">
        <f ca="1">IF($I$3="Calendar Year",SUMIF($B$7:$B$507,LARGE($B$7:$B$507,23),C$7:C$507)+SUMIF($B$7:$B$507,LARGE($B$7:$B$507,24),C$7:C$507)+SUMIF($B$7:$B$507,LARGE($B$7:$B$507,25),C$7:C$507)+SUMIF($B$7:$B$507,LARGE($B$7:$B$507,26),C$7:C$507),SUMIF($B$7:$B$507,LARGE($B$7:$B$507,21),C$7:C$507)+SUMIF($B$7:$B$507,LARGE($B$7:$B$507,22),C$7:C$507)+SUMIF($B$7:$B$507,LARGE($B$7:$B$507,23),C$7:C$507)+SUMIF($B$7:$B$507,LARGE($B$7:$B$507,24),C$7:C$507))</f>
        <v>36927</v>
      </c>
      <c r="Q11" s="100">
        <f t="shared" ca="1" si="8"/>
        <v>82414</v>
      </c>
      <c r="R11" s="107">
        <f t="shared" ca="1" si="9"/>
        <v>0.30942425486630748</v>
      </c>
      <c r="S11" s="119">
        <f ca="1">IF($I$3="Calendar Year",SUMIF($B$7:$B$507,LARGE($B$7:$B$507,23),F$7:F$507)+SUMIF($B$7:$B$507,LARGE($B$7:$B$507,24),F$7:F$507)+SUMIF($B$7:$B$507,LARGE($B$7:$B$507,25),F$7:F$507)+SUMIF($B$7:$B$507,LARGE($B$7:$B$507,26),F$7:F$507),SUMIF($B$7:$B$507,LARGE($B$7:$B$507,21),F$7:F$507)+SUMIF($B$7:$B$507,LARGE($B$7:$B$507,22),F$7:F$507)+SUMIF($B$7:$B$507,LARGE($B$7:$B$507,23),F$7:F$507)+SUMIF($B$7:$B$507,LARGE($B$7:$B$507,24),F$7:F$507))</f>
        <v>119341</v>
      </c>
    </row>
    <row r="12" spans="1:33">
      <c r="A12" s="89">
        <f t="shared" si="4"/>
        <v>2001</v>
      </c>
      <c r="B12" s="69">
        <v>37226</v>
      </c>
      <c r="C12" s="312">
        <v>1637</v>
      </c>
      <c r="D12" s="312">
        <v>11351</v>
      </c>
      <c r="E12" s="103">
        <f t="shared" si="5"/>
        <v>0.1260394210040037</v>
      </c>
      <c r="F12" s="308">
        <v>12988</v>
      </c>
      <c r="I12" s="95">
        <f t="shared" si="0"/>
        <v>2012</v>
      </c>
      <c r="J12" s="99">
        <f t="shared" si="1"/>
        <v>61934</v>
      </c>
      <c r="K12" s="99">
        <f t="shared" si="6"/>
        <v>101476</v>
      </c>
      <c r="L12" s="106">
        <f t="shared" si="7"/>
        <v>0.37900985251820574</v>
      </c>
      <c r="M12" s="113">
        <f t="shared" si="2"/>
        <v>163410</v>
      </c>
      <c r="N12" s="110"/>
      <c r="O12" s="95" t="str">
        <f t="shared" ca="1" si="3"/>
        <v>2011-2012</v>
      </c>
      <c r="P12" s="99">
        <f ca="1">IF($I$3="Calendar Year",SUMIF($B$7:$B$507,LARGE($B$7:$B$507,19),C$7:C$507)+SUMIF($B$7:$B$507,LARGE($B$7:$B$507,20),C$7:C$507)+SUMIF($B$7:$B$507,LARGE($B$7:$B$507,21),C$7:C$507)+SUMIF($B$7:$B$507,LARGE($B$7:$B$507,22),C$7:C$507),SUMIF($B$7:$B$507,LARGE($B$7:$B$507,17),C$7:C$507)+SUMIF($B$7:$B$507,LARGE($B$7:$B$507,18),C$7:C$507)+SUMIF($B$7:$B$507,LARGE($B$7:$B$507,19),C$7:C$507)+SUMIF($B$7:$B$507,LARGE($B$7:$B$507,20),C$7:C$507))</f>
        <v>55967</v>
      </c>
      <c r="Q12" s="99">
        <f t="shared" ca="1" si="8"/>
        <v>98874</v>
      </c>
      <c r="R12" s="106">
        <f t="shared" ca="1" si="9"/>
        <v>0.3614481952454453</v>
      </c>
      <c r="S12" s="118">
        <f ca="1">IF($I$3="Calendar Year",SUMIF($B$7:$B$507,LARGE($B$7:$B$507,19),F$7:F$507)+SUMIF($B$7:$B$507,LARGE($B$7:$B$507,20),F$7:F$507)+SUMIF($B$7:$B$507,LARGE($B$7:$B$507,21),F$7:F$507)+SUMIF($B$7:$B$507,LARGE($B$7:$B$507,22),F$7:F$507),SUMIF($B$7:$B$507,LARGE($B$7:$B$507,17),F$7:F$507)+SUMIF($B$7:$B$507,LARGE($B$7:$B$507,18),F$7:F$507)+SUMIF($B$7:$B$507,LARGE($B$7:$B$507,19),F$7:F$507)+SUMIF($B$7:$B$507,LARGE($B$7:$B$507,20),F$7:F$507))</f>
        <v>154841</v>
      </c>
    </row>
    <row r="13" spans="1:33">
      <c r="A13" s="89">
        <f t="shared" si="4"/>
        <v>2002</v>
      </c>
      <c r="B13" s="69">
        <v>37316</v>
      </c>
      <c r="C13" s="311">
        <v>1371</v>
      </c>
      <c r="D13" s="311">
        <v>9825</v>
      </c>
      <c r="E13" s="102">
        <f t="shared" si="5"/>
        <v>0.12245444801714898</v>
      </c>
      <c r="F13" s="307">
        <v>11196</v>
      </c>
      <c r="I13" s="96">
        <f t="shared" si="0"/>
        <v>2013</v>
      </c>
      <c r="J13" s="100">
        <f t="shared" si="1"/>
        <v>56010</v>
      </c>
      <c r="K13" s="100">
        <f t="shared" si="6"/>
        <v>103511</v>
      </c>
      <c r="L13" s="107">
        <f t="shared" si="7"/>
        <v>0.35111364647914695</v>
      </c>
      <c r="M13" s="114">
        <f t="shared" si="2"/>
        <v>159521</v>
      </c>
      <c r="N13" s="110"/>
      <c r="O13" s="96" t="str">
        <f t="shared" ca="1" si="3"/>
        <v>2012-2013</v>
      </c>
      <c r="P13" s="100">
        <f ca="1">IF($I$3="Calendar Year",SUMIF($B$7:$B$507,LARGE($B$7:$B$507,15),C$7:C$507)+SUMIF($B$7:$B$507,LARGE($B$7:$B$507,16),C$7:C$507)+SUMIF($B$7:$B$507,LARGE($B$7:$B$507,17),C$7:C$507)+SUMIF($B$7:$B$507,LARGE($B$7:$B$507,18),C$7:C$507),SUMIF($B$7:$B$507,LARGE($B$7:$B$507,13),C$7:C$507)+SUMIF($B$7:$B$507,LARGE($B$7:$B$507,14),C$7:C$507)+SUMIF($B$7:$B$507,LARGE($B$7:$B$507,15),C$7:C$507)+SUMIF($B$7:$B$507,LARGE($B$7:$B$507,16),C$7:C$507))</f>
        <v>58169</v>
      </c>
      <c r="Q13" s="100">
        <f t="shared" ca="1" si="8"/>
        <v>102361</v>
      </c>
      <c r="R13" s="107">
        <f t="shared" ca="1" si="9"/>
        <v>0.3623559459291098</v>
      </c>
      <c r="S13" s="119">
        <f ca="1">IF($I$3="Calendar Year",SUMIF($B$7:$B$507,LARGE($B$7:$B$507,15),F$7:F$507)+SUMIF($B$7:$B$507,LARGE($B$7:$B$507,16),F$7:F$507)+SUMIF($B$7:$B$507,LARGE($B$7:$B$507,17),F$7:F$507)+SUMIF($B$7:$B$507,LARGE($B$7:$B$507,18),F$7:F$507),SUMIF($B$7:$B$507,LARGE($B$7:$B$507,13),F$7:F$507)+SUMIF($B$7:$B$507,LARGE($B$7:$B$507,14),F$7:F$507)+SUMIF($B$7:$B$507,LARGE($B$7:$B$507,15),F$7:F$507)+SUMIF($B$7:$B$507,LARGE($B$7:$B$507,16),F$7:F$507))</f>
        <v>160530</v>
      </c>
    </row>
    <row r="14" spans="1:33">
      <c r="A14" s="89">
        <f t="shared" si="4"/>
        <v>2002</v>
      </c>
      <c r="B14" s="69">
        <v>37408</v>
      </c>
      <c r="C14" s="312">
        <v>1749</v>
      </c>
      <c r="D14" s="312">
        <v>11551</v>
      </c>
      <c r="E14" s="103">
        <f t="shared" si="5"/>
        <v>0.13150375939849623</v>
      </c>
      <c r="F14" s="308">
        <v>13300</v>
      </c>
      <c r="I14" s="95">
        <f t="shared" si="0"/>
        <v>2014</v>
      </c>
      <c r="J14" s="99">
        <f t="shared" si="1"/>
        <v>55810</v>
      </c>
      <c r="K14" s="99">
        <f t="shared" si="6"/>
        <v>99790</v>
      </c>
      <c r="L14" s="106">
        <f t="shared" si="7"/>
        <v>0.35867609254498717</v>
      </c>
      <c r="M14" s="113">
        <f t="shared" si="2"/>
        <v>155600</v>
      </c>
      <c r="N14" s="110"/>
      <c r="O14" s="95" t="str">
        <f t="shared" ca="1" si="3"/>
        <v>2013-2014</v>
      </c>
      <c r="P14" s="99">
        <f ca="1">IF($I$3="Calendar Year",SUMIF($B$7:$B$507,LARGE($B$7:$B$507,11),C$7:C$507)+SUMIF($B$7:$B$507,LARGE($B$7:$B$507,12),C$7:C$507)+SUMIF($B$7:$B$507,LARGE($B$7:$B$507,13),C$7:C$507)+SUMIF($B$7:$B$507,LARGE($B$7:$B$507,14),C$7:C$507),SUMIF($B$7:$B$507,LARGE($B$7:$B$507,9),C$7:C$507)+SUMIF($B$7:$B$507,LARGE($B$7:$B$507,10),C$7:C$507)+SUMIF($B$7:$B$507,LARGE($B$7:$B$507,11),C$7:C$507)+SUMIF($B$7:$B$507,LARGE($B$7:$B$507,12),C$7:C$507))</f>
        <v>55946</v>
      </c>
      <c r="Q14" s="99">
        <f t="shared" ca="1" si="8"/>
        <v>102013</v>
      </c>
      <c r="R14" s="106">
        <f t="shared" ca="1" si="9"/>
        <v>0.35418051519698152</v>
      </c>
      <c r="S14" s="118">
        <f ca="1">IF($I$3="Calendar Year",SUMIF($B$7:$B$507,LARGE($B$7:$B$507,11),F$7:F$507)+SUMIF($B$7:$B$507,LARGE($B$7:$B$507,12),F$7:F$507)+SUMIF($B$7:$B$507,LARGE($B$7:$B$507,13),F$7:F$507)+SUMIF($B$7:$B$507,LARGE($B$7:$B$507,14),F$7:F$507),SUMIF($B$7:$B$507,LARGE($B$7:$B$507,9),F$7:F$507)+SUMIF($B$7:$B$507,LARGE($B$7:$B$507,10),F$7:F$507)+SUMIF($B$7:$B$507,LARGE($B$7:$B$507,11),F$7:F$507)+SUMIF($B$7:$B$507,LARGE($B$7:$B$507,12),F$7:F$507))</f>
        <v>157959</v>
      </c>
    </row>
    <row r="15" spans="1:33">
      <c r="A15" s="89">
        <f t="shared" si="4"/>
        <v>2002</v>
      </c>
      <c r="B15" s="69">
        <v>37500</v>
      </c>
      <c r="C15" s="311">
        <v>1588</v>
      </c>
      <c r="D15" s="311">
        <v>11360</v>
      </c>
      <c r="E15" s="102">
        <f t="shared" si="5"/>
        <v>0.12264442384924312</v>
      </c>
      <c r="F15" s="307">
        <v>12948</v>
      </c>
      <c r="I15" s="96">
        <f>I16-1</f>
        <v>2015</v>
      </c>
      <c r="J15" s="100">
        <f t="shared" si="1"/>
        <v>50803</v>
      </c>
      <c r="K15" s="100">
        <f t="shared" si="6"/>
        <v>87857</v>
      </c>
      <c r="L15" s="107">
        <f t="shared" si="7"/>
        <v>0.36638540314438195</v>
      </c>
      <c r="M15" s="114">
        <f t="shared" si="2"/>
        <v>138660</v>
      </c>
      <c r="N15" s="110"/>
      <c r="O15" s="96" t="str">
        <f t="shared" ca="1" si="3"/>
        <v>2014-2015</v>
      </c>
      <c r="P15" s="100">
        <f ca="1">IF($I$3="Calendar Year",SUMIF($B$7:$B$507,LARGE($B$7:$B$507,7),C$7:C$507)+SUMIF($B$7:$B$507,LARGE($B$7:$B$507,8),C$7:C$507)+SUMIF($B$7:$B$507,LARGE($B$7:$B$507,9),C$7:C$507)+SUMIF($B$7:$B$507,LARGE($B$7:$B$507,10),C$7:C$507),SUMIF($B$7:$B$507,LARGE($B$7:$B$507,5),C$7:C$507)+SUMIF($B$7:$B$507,LARGE($B$7:$B$507,6),C$7:C$507)+SUMIF($B$7:$B$507,LARGE($B$7:$B$507,7),C$7:C$507)+SUMIF($B$7:$B$507,LARGE($B$7:$B$507,8),C$7:C$507))</f>
        <v>55112</v>
      </c>
      <c r="Q15" s="100">
        <f t="shared" ca="1" si="8"/>
        <v>95542</v>
      </c>
      <c r="R15" s="107">
        <f t="shared" ca="1" si="9"/>
        <v>0.36581836526079625</v>
      </c>
      <c r="S15" s="119">
        <f ca="1">IF($I$3="Calendar Year",SUMIF($B$7:$B$507,LARGE($B$7:$B$507,7),F$7:F$507)+SUMIF($B$7:$B$507,LARGE($B$7:$B$507,8),F$7:F$507)+SUMIF($B$7:$B$507,LARGE($B$7:$B$507,9),F$7:F$507)+SUMIF($B$7:$B$507,LARGE($B$7:$B$507,10),F$7:F$507),SUMIF($B$7:$B$507,LARGE($B$7:$B$507,5),F$7:F$507)+SUMIF($B$7:$B$507,LARGE($B$7:$B$507,6),F$7:F$507)+SUMIF($B$7:$B$507,LARGE($B$7:$B$507,7),F$7:F$507)+SUMIF($B$7:$B$507,LARGE($B$7:$B$507,8),F$7:F$507))</f>
        <v>150654</v>
      </c>
    </row>
    <row r="16" spans="1:33" ht="15.75" thickBot="1">
      <c r="A16" s="89">
        <f t="shared" si="4"/>
        <v>2002</v>
      </c>
      <c r="B16" s="69">
        <v>37591</v>
      </c>
      <c r="C16" s="312">
        <v>1956</v>
      </c>
      <c r="D16" s="312">
        <v>13748</v>
      </c>
      <c r="E16" s="103">
        <f t="shared" si="5"/>
        <v>0.12455425369332654</v>
      </c>
      <c r="F16" s="308">
        <v>15704</v>
      </c>
      <c r="I16" s="97">
        <f>MAX(A7:A507)</f>
        <v>2016</v>
      </c>
      <c r="J16" s="101">
        <f t="shared" si="1"/>
        <v>33760</v>
      </c>
      <c r="K16" s="101">
        <f t="shared" si="6"/>
        <v>83691</v>
      </c>
      <c r="L16" s="108">
        <f t="shared" si="7"/>
        <v>0.28743901712203385</v>
      </c>
      <c r="M16" s="115">
        <f t="shared" si="2"/>
        <v>117451</v>
      </c>
      <c r="N16" s="110"/>
      <c r="O16" s="97" t="str">
        <f t="shared" ca="1" si="3"/>
        <v>2015-2016</v>
      </c>
      <c r="P16" s="532">
        <f ca="1">IF($I$3="Calendar Year",SUMIF($B$7:$B$507,LARGE($B$7:$B$507,3),C$7:C$507)+SUMIF($B$7:$B$507,LARGE($B$7:$B$507,4),C$7:C$507)+SUMIF($B$7:$B$507,LARGE($B$7:$B$507,5),C$7:C$507)+SUMIF($B$7:$B$507,LARGE($B$7:$B$507,6),C$7:C$507),SUMIF($B$7:$B$507,LARGE($B$7:$B$507,1),C$7:C$507)+SUMIF($B$7:$B$507,LARGE($B$7:$B$507,2),C$7:C$507)+SUMIF($B$7:$B$507,LARGE($B$7:$B$507,3),C$7:C$507)+SUMIF($B$7:$B$507,LARGE($B$7:$B$507,4),C$7:C$507))</f>
        <v>43160</v>
      </c>
      <c r="Q16" s="532">
        <f t="shared" ca="1" si="8"/>
        <v>84532</v>
      </c>
      <c r="R16" s="533">
        <f t="shared" ca="1" si="9"/>
        <v>0.33800081445979385</v>
      </c>
      <c r="S16" s="534">
        <f ca="1">IF($I$3="Calendar Year",SUMIF($B$7:$B$507,LARGE($B$7:$B$507,3),F$7:F$507)+SUMIF($B$7:$B$507,LARGE($B$7:$B$507,4),F$7:F$507)+SUMIF($B$7:$B$507,LARGE($B$7:$B$507,5),F$7:F$507)+SUMIF($B$7:$B$507,LARGE($B$7:$B$507,6),F$7:F$507),SUMIF($B$7:$B$507,LARGE($B$7:$B$507,1),F$7:F$507)+SUMIF($B$7:$B$507,LARGE($B$7:$B$507,2),F$7:F$507)+SUMIF($B$7:$B$507,LARGE($B$7:$B$507,3),F$7:F$507)+SUMIF($B$7:$B$507,LARGE($B$7:$B$507,4),F$7:F$507))</f>
        <v>127692</v>
      </c>
    </row>
    <row r="17" spans="1:10">
      <c r="A17" s="89">
        <f t="shared" si="4"/>
        <v>2003</v>
      </c>
      <c r="B17" s="69">
        <v>37681</v>
      </c>
      <c r="C17" s="311">
        <v>1830</v>
      </c>
      <c r="D17" s="311">
        <v>11167</v>
      </c>
      <c r="E17" s="102">
        <f t="shared" si="5"/>
        <v>0.14080172347464801</v>
      </c>
      <c r="F17" s="307">
        <v>12997</v>
      </c>
    </row>
    <row r="18" spans="1:10">
      <c r="A18" s="89">
        <f t="shared" si="4"/>
        <v>2003</v>
      </c>
      <c r="B18" s="69">
        <v>37773</v>
      </c>
      <c r="C18" s="312">
        <v>2214</v>
      </c>
      <c r="D18" s="312">
        <v>12586</v>
      </c>
      <c r="E18" s="103">
        <f t="shared" si="5"/>
        <v>0.14959459459459459</v>
      </c>
      <c r="F18" s="308">
        <v>14800</v>
      </c>
    </row>
    <row r="19" spans="1:10">
      <c r="A19" s="89">
        <f t="shared" si="4"/>
        <v>2003</v>
      </c>
      <c r="B19" s="69">
        <v>37865</v>
      </c>
      <c r="C19" s="311">
        <v>2377</v>
      </c>
      <c r="D19" s="311">
        <v>11866</v>
      </c>
      <c r="E19" s="102">
        <f t="shared" si="5"/>
        <v>0.16688899810433194</v>
      </c>
      <c r="F19" s="307">
        <v>14243</v>
      </c>
    </row>
    <row r="20" spans="1:10">
      <c r="A20" s="89">
        <f t="shared" si="4"/>
        <v>2003</v>
      </c>
      <c r="B20" s="69">
        <v>37956</v>
      </c>
      <c r="C20" s="312">
        <v>2739</v>
      </c>
      <c r="D20" s="312">
        <v>12770</v>
      </c>
      <c r="E20" s="103">
        <f t="shared" si="5"/>
        <v>0.17660713134309111</v>
      </c>
      <c r="F20" s="308">
        <v>15509</v>
      </c>
    </row>
    <row r="21" spans="1:10">
      <c r="A21" s="89">
        <f t="shared" si="4"/>
        <v>2004</v>
      </c>
      <c r="B21" s="69">
        <v>38047</v>
      </c>
      <c r="C21" s="311">
        <v>2009</v>
      </c>
      <c r="D21" s="311">
        <v>10423</v>
      </c>
      <c r="E21" s="102">
        <f t="shared" si="5"/>
        <v>0.16159909909909909</v>
      </c>
      <c r="F21" s="307">
        <v>12432</v>
      </c>
    </row>
    <row r="22" spans="1:10">
      <c r="A22" s="89">
        <f t="shared" si="4"/>
        <v>2004</v>
      </c>
      <c r="B22" s="69">
        <v>38139</v>
      </c>
      <c r="C22" s="312">
        <v>2440</v>
      </c>
      <c r="D22" s="312">
        <v>12739</v>
      </c>
      <c r="E22" s="103">
        <f t="shared" si="5"/>
        <v>0.16074840239804994</v>
      </c>
      <c r="F22" s="308">
        <v>15179</v>
      </c>
    </row>
    <row r="23" spans="1:10">
      <c r="A23" s="89">
        <f t="shared" si="4"/>
        <v>2004</v>
      </c>
      <c r="B23" s="69">
        <v>38231</v>
      </c>
      <c r="C23" s="311">
        <v>2444</v>
      </c>
      <c r="D23" s="311">
        <v>11893</v>
      </c>
      <c r="E23" s="102">
        <f t="shared" si="5"/>
        <v>0.1704680198088861</v>
      </c>
      <c r="F23" s="307">
        <v>14337</v>
      </c>
    </row>
    <row r="24" spans="1:10">
      <c r="A24" s="89">
        <f t="shared" si="4"/>
        <v>2004</v>
      </c>
      <c r="B24" s="69">
        <v>38322</v>
      </c>
      <c r="C24" s="312">
        <v>2881</v>
      </c>
      <c r="D24" s="312">
        <v>14582</v>
      </c>
      <c r="E24" s="103">
        <f t="shared" si="5"/>
        <v>0.16497738074786691</v>
      </c>
      <c r="F24" s="308">
        <v>17463</v>
      </c>
    </row>
    <row r="25" spans="1:10">
      <c r="A25" s="89">
        <f t="shared" si="4"/>
        <v>2005</v>
      </c>
      <c r="B25" s="69">
        <v>38412</v>
      </c>
      <c r="C25" s="311">
        <v>2542</v>
      </c>
      <c r="D25" s="311">
        <v>12007</v>
      </c>
      <c r="E25" s="102">
        <f t="shared" si="5"/>
        <v>0.17471991202144477</v>
      </c>
      <c r="F25" s="307">
        <v>14549</v>
      </c>
    </row>
    <row r="26" spans="1:10">
      <c r="A26" s="89">
        <f t="shared" si="4"/>
        <v>2005</v>
      </c>
      <c r="B26" s="69">
        <v>38504</v>
      </c>
      <c r="C26" s="312">
        <v>2808</v>
      </c>
      <c r="D26" s="312">
        <v>15212</v>
      </c>
      <c r="E26" s="103">
        <f t="shared" si="5"/>
        <v>0.155826859045505</v>
      </c>
      <c r="F26" s="308">
        <v>18020</v>
      </c>
      <c r="J26" s="89"/>
    </row>
    <row r="27" spans="1:10">
      <c r="A27" s="89">
        <f t="shared" si="4"/>
        <v>2005</v>
      </c>
      <c r="B27" s="69">
        <v>38596</v>
      </c>
      <c r="C27" s="311">
        <v>3469</v>
      </c>
      <c r="D27" s="311">
        <v>14395</v>
      </c>
      <c r="E27" s="102">
        <f t="shared" si="5"/>
        <v>0.19418943125839677</v>
      </c>
      <c r="F27" s="307">
        <v>17864</v>
      </c>
    </row>
    <row r="28" spans="1:10">
      <c r="A28" s="89">
        <f t="shared" si="4"/>
        <v>2005</v>
      </c>
      <c r="B28" s="69">
        <v>38687</v>
      </c>
      <c r="C28" s="312">
        <v>4311</v>
      </c>
      <c r="D28" s="312">
        <v>17557</v>
      </c>
      <c r="E28" s="103">
        <f t="shared" si="5"/>
        <v>0.19713736967258094</v>
      </c>
      <c r="F28" s="308">
        <v>21868</v>
      </c>
    </row>
    <row r="29" spans="1:10">
      <c r="A29" s="89">
        <f t="shared" si="4"/>
        <v>2006</v>
      </c>
      <c r="B29" s="69">
        <v>38777</v>
      </c>
      <c r="C29" s="311">
        <v>4151</v>
      </c>
      <c r="D29" s="311">
        <v>14536</v>
      </c>
      <c r="E29" s="102">
        <f t="shared" si="5"/>
        <v>0.22213303365976347</v>
      </c>
      <c r="F29" s="307">
        <v>18687</v>
      </c>
    </row>
    <row r="30" spans="1:10">
      <c r="A30" s="89">
        <f t="shared" si="4"/>
        <v>2006</v>
      </c>
      <c r="B30" s="69">
        <v>38869</v>
      </c>
      <c r="C30" s="312">
        <v>5562</v>
      </c>
      <c r="D30" s="312">
        <v>16630</v>
      </c>
      <c r="E30" s="103">
        <f t="shared" si="5"/>
        <v>0.25063085796683487</v>
      </c>
      <c r="F30" s="308">
        <v>22192</v>
      </c>
    </row>
    <row r="31" spans="1:10">
      <c r="A31" s="89">
        <f t="shared" si="4"/>
        <v>2006</v>
      </c>
      <c r="B31" s="69">
        <v>38961</v>
      </c>
      <c r="C31" s="311">
        <v>4397</v>
      </c>
      <c r="D31" s="311">
        <v>15366</v>
      </c>
      <c r="E31" s="102">
        <f t="shared" si="5"/>
        <v>0.22248646460557608</v>
      </c>
      <c r="F31" s="307">
        <v>19763</v>
      </c>
    </row>
    <row r="32" spans="1:10">
      <c r="A32" s="89">
        <f t="shared" si="4"/>
        <v>2006</v>
      </c>
      <c r="B32" s="69">
        <v>39052</v>
      </c>
      <c r="C32" s="312">
        <v>5431</v>
      </c>
      <c r="D32" s="312">
        <v>16525</v>
      </c>
      <c r="E32" s="103">
        <f t="shared" si="5"/>
        <v>0.24735835306977591</v>
      </c>
      <c r="F32" s="308">
        <v>21956</v>
      </c>
    </row>
    <row r="33" spans="1:6">
      <c r="A33" s="89">
        <f t="shared" si="4"/>
        <v>2007</v>
      </c>
      <c r="B33" s="69">
        <v>39142</v>
      </c>
      <c r="C33" s="311">
        <v>5098</v>
      </c>
      <c r="D33" s="311">
        <v>15316</v>
      </c>
      <c r="E33" s="102">
        <f t="shared" si="5"/>
        <v>0.24973057705496229</v>
      </c>
      <c r="F33" s="307">
        <v>20414</v>
      </c>
    </row>
    <row r="34" spans="1:6">
      <c r="A34" s="89">
        <f t="shared" si="4"/>
        <v>2007</v>
      </c>
      <c r="B34" s="69">
        <v>39234</v>
      </c>
      <c r="C34" s="312">
        <v>6349</v>
      </c>
      <c r="D34" s="312">
        <v>18993</v>
      </c>
      <c r="E34" s="103">
        <f t="shared" si="5"/>
        <v>0.25053271249309444</v>
      </c>
      <c r="F34" s="308">
        <v>25342</v>
      </c>
    </row>
    <row r="35" spans="1:6">
      <c r="A35" s="89">
        <f t="shared" si="4"/>
        <v>2007</v>
      </c>
      <c r="B35" s="69">
        <v>39326</v>
      </c>
      <c r="C35" s="311">
        <v>5458</v>
      </c>
      <c r="D35" s="311">
        <v>16374</v>
      </c>
      <c r="E35" s="102">
        <f t="shared" si="5"/>
        <v>0.25</v>
      </c>
      <c r="F35" s="307">
        <v>21832</v>
      </c>
    </row>
    <row r="36" spans="1:6">
      <c r="A36" s="89">
        <f t="shared" si="4"/>
        <v>2007</v>
      </c>
      <c r="B36" s="69">
        <v>39417</v>
      </c>
      <c r="C36" s="312">
        <v>6545</v>
      </c>
      <c r="D36" s="312">
        <v>19303</v>
      </c>
      <c r="E36" s="103">
        <f t="shared" si="5"/>
        <v>0.2532110801609409</v>
      </c>
      <c r="F36" s="308">
        <v>25848</v>
      </c>
    </row>
    <row r="37" spans="1:6">
      <c r="A37" s="89">
        <f t="shared" si="4"/>
        <v>2008</v>
      </c>
      <c r="B37" s="69">
        <v>39508</v>
      </c>
      <c r="C37" s="311">
        <v>5998</v>
      </c>
      <c r="D37" s="311">
        <v>15590</v>
      </c>
      <c r="E37" s="102">
        <f t="shared" si="5"/>
        <v>0.27783954048545489</v>
      </c>
      <c r="F37" s="307">
        <v>21588</v>
      </c>
    </row>
    <row r="38" spans="1:6">
      <c r="A38" s="89">
        <f t="shared" si="4"/>
        <v>2008</v>
      </c>
      <c r="B38" s="69">
        <v>39600</v>
      </c>
      <c r="C38" s="312">
        <v>7123</v>
      </c>
      <c r="D38" s="312">
        <v>20442</v>
      </c>
      <c r="E38" s="103">
        <f t="shared" si="5"/>
        <v>0.25840740068927986</v>
      </c>
      <c r="F38" s="308">
        <v>27565</v>
      </c>
    </row>
    <row r="39" spans="1:6">
      <c r="A39" s="89">
        <f t="shared" si="4"/>
        <v>2008</v>
      </c>
      <c r="B39" s="69">
        <v>39692</v>
      </c>
      <c r="C39" s="311">
        <v>7414</v>
      </c>
      <c r="D39" s="311">
        <v>18389</v>
      </c>
      <c r="E39" s="102">
        <f t="shared" si="5"/>
        <v>0.28733093051195596</v>
      </c>
      <c r="F39" s="307">
        <v>25803</v>
      </c>
    </row>
    <row r="40" spans="1:6">
      <c r="A40" s="89">
        <f t="shared" si="4"/>
        <v>2008</v>
      </c>
      <c r="B40" s="69">
        <v>39783</v>
      </c>
      <c r="C40" s="312">
        <v>9204</v>
      </c>
      <c r="D40" s="312">
        <v>22716</v>
      </c>
      <c r="E40" s="103">
        <f t="shared" si="5"/>
        <v>0.28834586466165413</v>
      </c>
      <c r="F40" s="308">
        <v>31920</v>
      </c>
    </row>
    <row r="41" spans="1:6">
      <c r="A41" s="89">
        <f t="shared" si="4"/>
        <v>2009</v>
      </c>
      <c r="B41" s="69">
        <v>39873</v>
      </c>
      <c r="C41" s="311">
        <v>7197</v>
      </c>
      <c r="D41" s="311">
        <v>17923</v>
      </c>
      <c r="E41" s="102">
        <f t="shared" si="5"/>
        <v>0.28650477707006372</v>
      </c>
      <c r="F41" s="307">
        <v>25120</v>
      </c>
    </row>
    <row r="42" spans="1:6">
      <c r="A42" s="89">
        <f t="shared" si="4"/>
        <v>2009</v>
      </c>
      <c r="B42" s="69">
        <v>39965</v>
      </c>
      <c r="C42" s="312">
        <v>9173</v>
      </c>
      <c r="D42" s="312">
        <v>21185</v>
      </c>
      <c r="E42" s="103">
        <f t="shared" si="5"/>
        <v>0.30216088016338361</v>
      </c>
      <c r="F42" s="308">
        <v>30358</v>
      </c>
    </row>
    <row r="43" spans="1:6">
      <c r="A43" s="89">
        <f t="shared" si="4"/>
        <v>2009</v>
      </c>
      <c r="B43" s="69">
        <v>40057</v>
      </c>
      <c r="C43" s="311">
        <v>7072</v>
      </c>
      <c r="D43" s="311">
        <v>17599</v>
      </c>
      <c r="E43" s="102">
        <f t="shared" si="5"/>
        <v>0.28665234485833568</v>
      </c>
      <c r="F43" s="307">
        <v>24671</v>
      </c>
    </row>
    <row r="44" spans="1:6">
      <c r="A44" s="89">
        <f t="shared" si="4"/>
        <v>2009</v>
      </c>
      <c r="B44" s="69">
        <v>40148</v>
      </c>
      <c r="C44" s="312">
        <v>7936</v>
      </c>
      <c r="D44" s="312">
        <v>22162</v>
      </c>
      <c r="E44" s="103">
        <f t="shared" si="5"/>
        <v>0.26367200478437103</v>
      </c>
      <c r="F44" s="308">
        <v>30098</v>
      </c>
    </row>
    <row r="45" spans="1:6">
      <c r="A45" s="89">
        <f t="shared" si="4"/>
        <v>2010</v>
      </c>
      <c r="B45" s="69">
        <v>40238</v>
      </c>
      <c r="C45" s="311">
        <v>7197</v>
      </c>
      <c r="D45" s="311">
        <v>16693</v>
      </c>
      <c r="E45" s="102">
        <f t="shared" si="5"/>
        <v>0.30125575554625367</v>
      </c>
      <c r="F45" s="307">
        <v>23890</v>
      </c>
    </row>
    <row r="46" spans="1:6">
      <c r="A46" s="89">
        <f t="shared" si="4"/>
        <v>2010</v>
      </c>
      <c r="B46" s="69">
        <v>40330</v>
      </c>
      <c r="C46" s="312">
        <v>8396</v>
      </c>
      <c r="D46" s="312">
        <v>20049</v>
      </c>
      <c r="E46" s="103">
        <f t="shared" si="5"/>
        <v>0.29516611003691334</v>
      </c>
      <c r="F46" s="308">
        <v>28445</v>
      </c>
    </row>
    <row r="47" spans="1:6">
      <c r="A47" s="89">
        <f t="shared" si="4"/>
        <v>2010</v>
      </c>
      <c r="B47" s="69">
        <v>40422</v>
      </c>
      <c r="C47" s="311">
        <v>8377</v>
      </c>
      <c r="D47" s="311">
        <v>18336</v>
      </c>
      <c r="E47" s="102">
        <f t="shared" si="5"/>
        <v>0.31359263280050914</v>
      </c>
      <c r="F47" s="307">
        <v>26713</v>
      </c>
    </row>
    <row r="48" spans="1:6">
      <c r="A48" s="89">
        <f t="shared" si="4"/>
        <v>2010</v>
      </c>
      <c r="B48" s="69">
        <v>40513</v>
      </c>
      <c r="C48" s="312">
        <v>9090</v>
      </c>
      <c r="D48" s="312">
        <v>22290</v>
      </c>
      <c r="E48" s="103">
        <f t="shared" si="5"/>
        <v>0.28967495219885275</v>
      </c>
      <c r="F48" s="308">
        <v>31380</v>
      </c>
    </row>
    <row r="49" spans="1:6">
      <c r="A49" s="89">
        <f t="shared" si="4"/>
        <v>2011</v>
      </c>
      <c r="B49" s="69">
        <v>40603</v>
      </c>
      <c r="C49" s="311">
        <v>8617</v>
      </c>
      <c r="D49" s="311">
        <v>18448</v>
      </c>
      <c r="E49" s="102">
        <f t="shared" si="5"/>
        <v>0.3183816737483835</v>
      </c>
      <c r="F49" s="307">
        <v>27065</v>
      </c>
    </row>
    <row r="50" spans="1:6">
      <c r="A50" s="89">
        <f t="shared" si="4"/>
        <v>2011</v>
      </c>
      <c r="B50" s="69">
        <v>40695</v>
      </c>
      <c r="C50" s="312">
        <v>10843</v>
      </c>
      <c r="D50" s="312">
        <v>23340</v>
      </c>
      <c r="E50" s="103">
        <f t="shared" si="5"/>
        <v>0.31720445835649297</v>
      </c>
      <c r="F50" s="308">
        <v>34183</v>
      </c>
    </row>
    <row r="51" spans="1:6">
      <c r="A51" s="89">
        <f t="shared" si="4"/>
        <v>2011</v>
      </c>
      <c r="B51" s="69">
        <v>40787</v>
      </c>
      <c r="C51" s="311">
        <v>12016</v>
      </c>
      <c r="D51" s="311">
        <v>23467</v>
      </c>
      <c r="E51" s="102">
        <f t="shared" si="5"/>
        <v>0.3386410393709664</v>
      </c>
      <c r="F51" s="307">
        <v>35483</v>
      </c>
    </row>
    <row r="52" spans="1:6">
      <c r="A52" s="89">
        <f t="shared" si="4"/>
        <v>2011</v>
      </c>
      <c r="B52" s="69">
        <v>40878</v>
      </c>
      <c r="C52" s="312">
        <v>13395</v>
      </c>
      <c r="D52" s="312">
        <v>26617</v>
      </c>
      <c r="E52" s="103">
        <f t="shared" si="5"/>
        <v>0.33477456762971108</v>
      </c>
      <c r="F52" s="308">
        <v>40012</v>
      </c>
    </row>
    <row r="53" spans="1:6">
      <c r="A53" s="89">
        <f t="shared" si="4"/>
        <v>2012</v>
      </c>
      <c r="B53" s="69">
        <v>40969</v>
      </c>
      <c r="C53" s="311">
        <v>13493</v>
      </c>
      <c r="D53" s="311">
        <v>22216</v>
      </c>
      <c r="E53" s="102">
        <f t="shared" si="5"/>
        <v>0.37785992326864376</v>
      </c>
      <c r="F53" s="307">
        <v>35709</v>
      </c>
    </row>
    <row r="54" spans="1:6">
      <c r="A54" s="89">
        <f t="shared" si="4"/>
        <v>2012</v>
      </c>
      <c r="B54" s="69">
        <v>41061</v>
      </c>
      <c r="C54" s="312">
        <v>17063</v>
      </c>
      <c r="D54" s="312">
        <v>26574</v>
      </c>
      <c r="E54" s="103">
        <f t="shared" si="5"/>
        <v>0.39102138093819466</v>
      </c>
      <c r="F54" s="308">
        <v>43637</v>
      </c>
    </row>
    <row r="55" spans="1:6">
      <c r="A55" s="89">
        <f t="shared" si="4"/>
        <v>2012</v>
      </c>
      <c r="B55" s="69">
        <v>41153</v>
      </c>
      <c r="C55" s="311">
        <v>15310</v>
      </c>
      <c r="D55" s="311">
        <v>24953</v>
      </c>
      <c r="E55" s="102">
        <f t="shared" si="5"/>
        <v>0.38024985718898247</v>
      </c>
      <c r="F55" s="307">
        <v>40263</v>
      </c>
    </row>
    <row r="56" spans="1:6">
      <c r="A56" s="89">
        <f t="shared" si="4"/>
        <v>2012</v>
      </c>
      <c r="B56" s="69">
        <v>41244</v>
      </c>
      <c r="C56" s="312">
        <v>16068</v>
      </c>
      <c r="D56" s="312">
        <v>27733</v>
      </c>
      <c r="E56" s="103">
        <f t="shared" si="5"/>
        <v>0.36684093970457293</v>
      </c>
      <c r="F56" s="308">
        <v>43801</v>
      </c>
    </row>
    <row r="57" spans="1:6">
      <c r="A57" s="89">
        <f t="shared" si="4"/>
        <v>2013</v>
      </c>
      <c r="B57" s="69">
        <v>41334</v>
      </c>
      <c r="C57" s="311">
        <v>11862</v>
      </c>
      <c r="D57" s="311">
        <v>22936</v>
      </c>
      <c r="E57" s="102">
        <f t="shared" si="5"/>
        <v>0.3408816598655095</v>
      </c>
      <c r="F57" s="307">
        <v>34798</v>
      </c>
    </row>
    <row r="58" spans="1:6">
      <c r="A58" s="89">
        <f t="shared" si="4"/>
        <v>2013</v>
      </c>
      <c r="B58" s="69">
        <v>41426</v>
      </c>
      <c r="C58" s="312">
        <v>14929</v>
      </c>
      <c r="D58" s="312">
        <v>26739</v>
      </c>
      <c r="E58" s="103">
        <f t="shared" si="5"/>
        <v>0.35828453489488338</v>
      </c>
      <c r="F58" s="308">
        <v>41668</v>
      </c>
    </row>
    <row r="59" spans="1:6">
      <c r="A59" s="89">
        <f t="shared" si="4"/>
        <v>2013</v>
      </c>
      <c r="B59" s="69">
        <v>41518</v>
      </c>
      <c r="C59" s="311">
        <v>14561</v>
      </c>
      <c r="D59" s="311">
        <v>26103</v>
      </c>
      <c r="E59" s="102">
        <f t="shared" si="5"/>
        <v>0.35825706131286289</v>
      </c>
      <c r="F59" s="307">
        <v>40644</v>
      </c>
    </row>
    <row r="60" spans="1:6">
      <c r="A60" s="89">
        <f t="shared" si="4"/>
        <v>2013</v>
      </c>
      <c r="B60" s="69">
        <v>41609</v>
      </c>
      <c r="C60" s="312">
        <v>14658</v>
      </c>
      <c r="D60" s="312">
        <v>27753</v>
      </c>
      <c r="E60" s="103">
        <f t="shared" si="5"/>
        <v>0.34561788215321498</v>
      </c>
      <c r="F60" s="308">
        <v>42411</v>
      </c>
    </row>
    <row r="61" spans="1:6">
      <c r="A61" s="89">
        <f t="shared" si="4"/>
        <v>2014</v>
      </c>
      <c r="B61" s="69">
        <v>41699</v>
      </c>
      <c r="C61" s="311">
        <v>12363</v>
      </c>
      <c r="D61" s="311">
        <v>21675</v>
      </c>
      <c r="E61" s="102">
        <f t="shared" si="5"/>
        <v>0.36321170456548563</v>
      </c>
      <c r="F61" s="307">
        <v>34038</v>
      </c>
    </row>
    <row r="62" spans="1:6">
      <c r="A62" s="89">
        <f t="shared" si="4"/>
        <v>2014</v>
      </c>
      <c r="B62" s="69">
        <v>41791</v>
      </c>
      <c r="C62" s="312">
        <v>14364</v>
      </c>
      <c r="D62" s="312">
        <v>26502</v>
      </c>
      <c r="E62" s="103">
        <f t="shared" si="5"/>
        <v>0.35149023638232274</v>
      </c>
      <c r="F62" s="308">
        <v>40866</v>
      </c>
    </row>
    <row r="63" spans="1:6">
      <c r="A63" s="89">
        <f t="shared" si="4"/>
        <v>2014</v>
      </c>
      <c r="B63" s="69">
        <v>41883</v>
      </c>
      <c r="C63" s="311">
        <v>14214</v>
      </c>
      <c r="D63" s="311">
        <v>24825</v>
      </c>
      <c r="E63" s="102">
        <f t="shared" si="5"/>
        <v>0.36409744102051794</v>
      </c>
      <c r="F63" s="307">
        <v>39039</v>
      </c>
    </row>
    <row r="64" spans="1:6">
      <c r="A64" s="89">
        <f t="shared" si="4"/>
        <v>2014</v>
      </c>
      <c r="B64" s="69">
        <v>41974</v>
      </c>
      <c r="C64" s="312">
        <v>14869</v>
      </c>
      <c r="D64" s="312">
        <v>26788</v>
      </c>
      <c r="E64" s="103">
        <f t="shared" si="5"/>
        <v>0.35693880980387449</v>
      </c>
      <c r="F64" s="308">
        <v>41657</v>
      </c>
    </row>
    <row r="65" spans="1:6">
      <c r="A65" s="89">
        <f t="shared" si="4"/>
        <v>2015</v>
      </c>
      <c r="B65" s="69">
        <v>42064</v>
      </c>
      <c r="C65" s="311">
        <v>12603</v>
      </c>
      <c r="D65" s="311">
        <v>19944</v>
      </c>
      <c r="E65" s="102">
        <f t="shared" si="5"/>
        <v>0.38722462899806431</v>
      </c>
      <c r="F65" s="307">
        <v>32547</v>
      </c>
    </row>
    <row r="66" spans="1:6">
      <c r="A66" s="89">
        <f t="shared" si="4"/>
        <v>2015</v>
      </c>
      <c r="B66" s="69">
        <v>42156</v>
      </c>
      <c r="C66" s="312">
        <v>13426</v>
      </c>
      <c r="D66" s="312">
        <v>23985</v>
      </c>
      <c r="E66" s="103">
        <f t="shared" si="5"/>
        <v>0.35887840474726684</v>
      </c>
      <c r="F66" s="308">
        <v>37411</v>
      </c>
    </row>
    <row r="67" spans="1:6">
      <c r="A67" s="89">
        <f t="shared" si="4"/>
        <v>2015</v>
      </c>
      <c r="B67" s="69">
        <v>42248</v>
      </c>
      <c r="C67" s="311">
        <v>11900</v>
      </c>
      <c r="D67" s="311">
        <v>20509</v>
      </c>
      <c r="E67" s="102">
        <f t="shared" si="5"/>
        <v>0.36718195562960904</v>
      </c>
      <c r="F67" s="307">
        <v>32409</v>
      </c>
    </row>
    <row r="68" spans="1:6">
      <c r="A68" s="89">
        <f t="shared" si="4"/>
        <v>2015</v>
      </c>
      <c r="B68" s="69">
        <v>42339</v>
      </c>
      <c r="C68" s="312">
        <v>12874</v>
      </c>
      <c r="D68" s="312">
        <v>23419</v>
      </c>
      <c r="E68" s="103">
        <f t="shared" si="5"/>
        <v>0.35472405146998043</v>
      </c>
      <c r="F68" s="308">
        <v>36293</v>
      </c>
    </row>
    <row r="69" spans="1:6">
      <c r="A69" s="89">
        <f t="shared" si="4"/>
        <v>2016</v>
      </c>
      <c r="B69" s="69">
        <v>42430</v>
      </c>
      <c r="C69" s="311">
        <v>9468</v>
      </c>
      <c r="D69" s="311">
        <v>18156</v>
      </c>
      <c r="E69" s="102">
        <f t="shared" si="5"/>
        <v>0.342745438748914</v>
      </c>
      <c r="F69" s="307">
        <v>27624</v>
      </c>
    </row>
    <row r="70" spans="1:6">
      <c r="A70" s="89">
        <f t="shared" si="4"/>
        <v>2016</v>
      </c>
      <c r="B70" s="69">
        <v>42522</v>
      </c>
      <c r="C70" s="312">
        <v>8918</v>
      </c>
      <c r="D70" s="312">
        <v>22448</v>
      </c>
      <c r="E70" s="103">
        <f t="shared" si="5"/>
        <v>0.28432060192565201</v>
      </c>
      <c r="F70" s="308">
        <v>31366</v>
      </c>
    </row>
    <row r="71" spans="1:6">
      <c r="A71" s="89">
        <f t="shared" si="4"/>
        <v>2016</v>
      </c>
      <c r="B71" s="69">
        <v>42614</v>
      </c>
      <c r="C71" s="311">
        <v>7407</v>
      </c>
      <c r="D71" s="311">
        <v>20476</v>
      </c>
      <c r="E71" s="102">
        <f t="shared" ref="E71:E72" si="10">C71/F71</f>
        <v>0.26564573395976043</v>
      </c>
      <c r="F71" s="307">
        <v>27883</v>
      </c>
    </row>
    <row r="72" spans="1:6" ht="15.75" thickBot="1">
      <c r="A72" s="89">
        <f t="shared" ref="A72:A135" si="11">YEAR(B72)</f>
        <v>2016</v>
      </c>
      <c r="B72" s="71">
        <v>42705</v>
      </c>
      <c r="C72" s="313">
        <v>7967</v>
      </c>
      <c r="D72" s="313">
        <v>22611</v>
      </c>
      <c r="E72" s="104">
        <f t="shared" si="10"/>
        <v>0.26054679835175615</v>
      </c>
      <c r="F72" s="309">
        <v>30578</v>
      </c>
    </row>
    <row r="73" spans="1:6">
      <c r="A73" s="89">
        <f t="shared" si="11"/>
        <v>1900</v>
      </c>
      <c r="C73" s="310"/>
      <c r="D73" s="310"/>
      <c r="F73" s="310"/>
    </row>
    <row r="74" spans="1:6">
      <c r="A74" s="89">
        <f t="shared" si="11"/>
        <v>1900</v>
      </c>
      <c r="C74" s="310"/>
      <c r="D74" s="310"/>
      <c r="F74" s="310"/>
    </row>
    <row r="75" spans="1:6">
      <c r="A75" s="89">
        <f t="shared" si="11"/>
        <v>1900</v>
      </c>
      <c r="C75" s="310"/>
      <c r="D75" s="310"/>
      <c r="F75" s="310"/>
    </row>
    <row r="76" spans="1:6">
      <c r="A76" s="89">
        <f t="shared" si="11"/>
        <v>1900</v>
      </c>
      <c r="C76" s="310"/>
      <c r="D76" s="310"/>
      <c r="F76" s="310"/>
    </row>
    <row r="77" spans="1:6">
      <c r="A77" s="89">
        <f t="shared" si="11"/>
        <v>1900</v>
      </c>
      <c r="C77" s="310"/>
      <c r="D77" s="310"/>
      <c r="F77" s="310"/>
    </row>
    <row r="78" spans="1:6">
      <c r="A78" s="89">
        <f t="shared" si="11"/>
        <v>1900</v>
      </c>
      <c r="F78" s="310"/>
    </row>
    <row r="79" spans="1:6">
      <c r="A79" s="89">
        <f t="shared" si="11"/>
        <v>1900</v>
      </c>
      <c r="F79" s="310"/>
    </row>
    <row r="80" spans="1:6">
      <c r="A80" s="89">
        <f t="shared" si="11"/>
        <v>1900</v>
      </c>
      <c r="F80" s="310"/>
    </row>
    <row r="81" spans="1:6">
      <c r="A81" s="89">
        <f t="shared" si="11"/>
        <v>1900</v>
      </c>
      <c r="F81" s="310"/>
    </row>
    <row r="82" spans="1:6">
      <c r="A82" s="89">
        <f t="shared" si="11"/>
        <v>1900</v>
      </c>
      <c r="F82" s="310"/>
    </row>
    <row r="83" spans="1:6">
      <c r="A83" s="89">
        <f t="shared" si="11"/>
        <v>1900</v>
      </c>
      <c r="F83" s="310"/>
    </row>
    <row r="84" spans="1:6">
      <c r="A84" s="89">
        <f t="shared" si="11"/>
        <v>1900</v>
      </c>
      <c r="F84" s="310"/>
    </row>
    <row r="85" spans="1:6">
      <c r="A85" s="89">
        <f t="shared" si="11"/>
        <v>1900</v>
      </c>
      <c r="F85" s="310"/>
    </row>
    <row r="86" spans="1:6">
      <c r="A86" s="89">
        <f t="shared" si="11"/>
        <v>1900</v>
      </c>
      <c r="F86" s="310"/>
    </row>
    <row r="87" spans="1:6">
      <c r="A87" s="89">
        <f t="shared" si="11"/>
        <v>1900</v>
      </c>
      <c r="F87" s="310"/>
    </row>
    <row r="88" spans="1:6">
      <c r="A88" s="89">
        <f t="shared" si="11"/>
        <v>1900</v>
      </c>
      <c r="F88" s="310"/>
    </row>
    <row r="89" spans="1:6">
      <c r="A89" s="89">
        <f t="shared" si="11"/>
        <v>1900</v>
      </c>
      <c r="F89" s="310"/>
    </row>
    <row r="90" spans="1:6">
      <c r="A90" s="89">
        <f t="shared" si="11"/>
        <v>1900</v>
      </c>
      <c r="F90" s="310"/>
    </row>
    <row r="91" spans="1:6">
      <c r="A91" s="89">
        <f t="shared" si="11"/>
        <v>1900</v>
      </c>
      <c r="F91" s="310"/>
    </row>
    <row r="92" spans="1:6">
      <c r="A92" s="89">
        <f t="shared" si="11"/>
        <v>1900</v>
      </c>
      <c r="F92" s="310"/>
    </row>
    <row r="93" spans="1:6">
      <c r="A93" s="89">
        <f t="shared" si="11"/>
        <v>1900</v>
      </c>
      <c r="F93" s="310"/>
    </row>
    <row r="94" spans="1:6">
      <c r="A94" s="89">
        <f t="shared" si="11"/>
        <v>1900</v>
      </c>
      <c r="F94" s="310"/>
    </row>
    <row r="95" spans="1:6">
      <c r="A95" s="89">
        <f t="shared" si="11"/>
        <v>1900</v>
      </c>
      <c r="F95" s="310"/>
    </row>
    <row r="96" spans="1:6">
      <c r="A96" s="89">
        <f t="shared" si="11"/>
        <v>1900</v>
      </c>
      <c r="F96" s="310"/>
    </row>
    <row r="97" spans="1:6">
      <c r="A97" s="89">
        <f t="shared" si="11"/>
        <v>1900</v>
      </c>
      <c r="F97" s="310"/>
    </row>
    <row r="98" spans="1:6">
      <c r="A98" s="89">
        <f t="shared" si="11"/>
        <v>1900</v>
      </c>
      <c r="F98" s="310"/>
    </row>
    <row r="99" spans="1:6">
      <c r="A99" s="89">
        <f t="shared" si="11"/>
        <v>1900</v>
      </c>
      <c r="F99" s="310"/>
    </row>
    <row r="100" spans="1:6">
      <c r="A100" s="89">
        <f t="shared" si="11"/>
        <v>1900</v>
      </c>
      <c r="F100" s="310"/>
    </row>
    <row r="101" spans="1:6">
      <c r="A101" s="89">
        <f t="shared" si="11"/>
        <v>1900</v>
      </c>
      <c r="F101" s="310"/>
    </row>
    <row r="102" spans="1:6">
      <c r="A102" s="89">
        <f t="shared" si="11"/>
        <v>1900</v>
      </c>
      <c r="F102" s="310"/>
    </row>
    <row r="103" spans="1:6">
      <c r="A103" s="89">
        <f t="shared" si="11"/>
        <v>1900</v>
      </c>
      <c r="F103" s="310"/>
    </row>
    <row r="104" spans="1:6">
      <c r="A104" s="89">
        <f t="shared" si="11"/>
        <v>1900</v>
      </c>
      <c r="F104" s="310"/>
    </row>
    <row r="105" spans="1:6">
      <c r="A105" s="89">
        <f t="shared" si="11"/>
        <v>1900</v>
      </c>
      <c r="F105" s="310"/>
    </row>
    <row r="106" spans="1:6">
      <c r="A106" s="89">
        <f t="shared" si="11"/>
        <v>1900</v>
      </c>
      <c r="F106" s="310"/>
    </row>
    <row r="107" spans="1:6">
      <c r="A107" s="89">
        <f t="shared" si="11"/>
        <v>1900</v>
      </c>
      <c r="F107" s="310"/>
    </row>
    <row r="108" spans="1:6">
      <c r="A108" s="89">
        <f t="shared" si="11"/>
        <v>1900</v>
      </c>
      <c r="F108" s="310"/>
    </row>
    <row r="109" spans="1:6">
      <c r="A109" s="89">
        <f t="shared" si="11"/>
        <v>1900</v>
      </c>
      <c r="F109" s="310"/>
    </row>
    <row r="110" spans="1:6">
      <c r="A110" s="89">
        <f t="shared" si="11"/>
        <v>1900</v>
      </c>
      <c r="F110" s="310"/>
    </row>
    <row r="111" spans="1:6">
      <c r="A111" s="89">
        <f t="shared" si="11"/>
        <v>1900</v>
      </c>
      <c r="F111" s="310"/>
    </row>
    <row r="112" spans="1:6">
      <c r="A112" s="89">
        <f t="shared" si="11"/>
        <v>1900</v>
      </c>
      <c r="F112" s="310"/>
    </row>
    <row r="113" spans="1:6">
      <c r="A113" s="89">
        <f t="shared" si="11"/>
        <v>1900</v>
      </c>
      <c r="F113" s="310"/>
    </row>
    <row r="114" spans="1:6">
      <c r="A114" s="89">
        <f t="shared" si="11"/>
        <v>1900</v>
      </c>
      <c r="F114" s="310"/>
    </row>
    <row r="115" spans="1:6">
      <c r="A115" s="89">
        <f t="shared" si="11"/>
        <v>1900</v>
      </c>
      <c r="F115" s="310"/>
    </row>
    <row r="116" spans="1:6">
      <c r="A116" s="89">
        <f t="shared" si="11"/>
        <v>1900</v>
      </c>
      <c r="F116" s="310"/>
    </row>
    <row r="117" spans="1:6">
      <c r="A117" s="89">
        <f t="shared" si="11"/>
        <v>1900</v>
      </c>
      <c r="F117" s="310"/>
    </row>
    <row r="118" spans="1:6">
      <c r="A118" s="89">
        <f t="shared" si="11"/>
        <v>1900</v>
      </c>
      <c r="F118" s="310"/>
    </row>
    <row r="119" spans="1:6">
      <c r="A119" s="89">
        <f t="shared" si="11"/>
        <v>1900</v>
      </c>
      <c r="F119" s="310"/>
    </row>
    <row r="120" spans="1:6">
      <c r="A120" s="89">
        <f t="shared" si="11"/>
        <v>1900</v>
      </c>
      <c r="F120" s="310"/>
    </row>
    <row r="121" spans="1:6">
      <c r="A121" s="89">
        <f t="shared" si="11"/>
        <v>1900</v>
      </c>
      <c r="F121" s="310"/>
    </row>
    <row r="122" spans="1:6">
      <c r="A122" s="89">
        <f t="shared" si="11"/>
        <v>1900</v>
      </c>
      <c r="F122" s="310"/>
    </row>
    <row r="123" spans="1:6">
      <c r="A123" s="89">
        <f t="shared" si="11"/>
        <v>1900</v>
      </c>
      <c r="F123" s="310"/>
    </row>
    <row r="124" spans="1:6">
      <c r="A124" s="89">
        <f t="shared" si="11"/>
        <v>1900</v>
      </c>
      <c r="F124" s="310"/>
    </row>
    <row r="125" spans="1:6">
      <c r="A125" s="89">
        <f t="shared" si="11"/>
        <v>1900</v>
      </c>
      <c r="F125" s="310"/>
    </row>
    <row r="126" spans="1:6">
      <c r="A126" s="89">
        <f t="shared" si="11"/>
        <v>1900</v>
      </c>
      <c r="F126" s="310"/>
    </row>
    <row r="127" spans="1:6">
      <c r="A127" s="89">
        <f t="shared" si="11"/>
        <v>1900</v>
      </c>
      <c r="F127" s="310"/>
    </row>
    <row r="128" spans="1:6">
      <c r="A128" s="89">
        <f t="shared" si="11"/>
        <v>1900</v>
      </c>
      <c r="F128" s="310"/>
    </row>
    <row r="129" spans="1:6">
      <c r="A129" s="89">
        <f t="shared" si="11"/>
        <v>1900</v>
      </c>
      <c r="F129" s="310"/>
    </row>
    <row r="130" spans="1:6">
      <c r="A130" s="89">
        <f t="shared" si="11"/>
        <v>1900</v>
      </c>
      <c r="F130" s="310"/>
    </row>
    <row r="131" spans="1:6">
      <c r="A131" s="89">
        <f t="shared" si="11"/>
        <v>1900</v>
      </c>
      <c r="F131" s="310"/>
    </row>
    <row r="132" spans="1:6">
      <c r="A132" s="89">
        <f t="shared" si="11"/>
        <v>1900</v>
      </c>
      <c r="F132" s="310"/>
    </row>
    <row r="133" spans="1:6">
      <c r="A133" s="89">
        <f t="shared" si="11"/>
        <v>1900</v>
      </c>
      <c r="F133" s="310"/>
    </row>
    <row r="134" spans="1:6">
      <c r="A134" s="89">
        <f t="shared" si="11"/>
        <v>1900</v>
      </c>
      <c r="F134" s="310"/>
    </row>
    <row r="135" spans="1:6">
      <c r="A135" s="89">
        <f t="shared" si="11"/>
        <v>1900</v>
      </c>
      <c r="F135" s="310"/>
    </row>
    <row r="136" spans="1:6">
      <c r="A136" s="89">
        <f t="shared" ref="A136:A199" si="12">YEAR(B136)</f>
        <v>1900</v>
      </c>
      <c r="F136" s="310"/>
    </row>
    <row r="137" spans="1:6">
      <c r="A137" s="89">
        <f t="shared" si="12"/>
        <v>1900</v>
      </c>
      <c r="F137" s="310"/>
    </row>
    <row r="138" spans="1:6">
      <c r="A138" s="89">
        <f t="shared" si="12"/>
        <v>1900</v>
      </c>
      <c r="F138" s="310"/>
    </row>
    <row r="139" spans="1:6">
      <c r="A139" s="89">
        <f t="shared" si="12"/>
        <v>1900</v>
      </c>
      <c r="F139" s="310"/>
    </row>
    <row r="140" spans="1:6">
      <c r="A140" s="89">
        <f t="shared" si="12"/>
        <v>1900</v>
      </c>
      <c r="F140" s="310"/>
    </row>
    <row r="141" spans="1:6">
      <c r="A141" s="89">
        <f t="shared" si="12"/>
        <v>1900</v>
      </c>
      <c r="F141" s="310"/>
    </row>
    <row r="142" spans="1:6">
      <c r="A142" s="89">
        <f t="shared" si="12"/>
        <v>1900</v>
      </c>
      <c r="F142" s="310"/>
    </row>
    <row r="143" spans="1:6">
      <c r="A143" s="89">
        <f t="shared" si="12"/>
        <v>1900</v>
      </c>
      <c r="F143" s="310"/>
    </row>
    <row r="144" spans="1:6">
      <c r="A144" s="89">
        <f t="shared" si="12"/>
        <v>1900</v>
      </c>
      <c r="F144" s="310"/>
    </row>
    <row r="145" spans="1:6">
      <c r="A145" s="89">
        <f t="shared" si="12"/>
        <v>1900</v>
      </c>
      <c r="F145" s="310"/>
    </row>
    <row r="146" spans="1:6">
      <c r="A146" s="89">
        <f t="shared" si="12"/>
        <v>1900</v>
      </c>
      <c r="F146" s="310"/>
    </row>
    <row r="147" spans="1:6">
      <c r="A147" s="89">
        <f t="shared" si="12"/>
        <v>1900</v>
      </c>
      <c r="F147" s="310"/>
    </row>
    <row r="148" spans="1:6">
      <c r="A148" s="89">
        <f t="shared" si="12"/>
        <v>1900</v>
      </c>
      <c r="F148" s="310"/>
    </row>
    <row r="149" spans="1:6">
      <c r="A149" s="89">
        <f t="shared" si="12"/>
        <v>1900</v>
      </c>
      <c r="F149" s="310"/>
    </row>
    <row r="150" spans="1:6">
      <c r="A150" s="89">
        <f t="shared" si="12"/>
        <v>1900</v>
      </c>
      <c r="F150" s="310"/>
    </row>
    <row r="151" spans="1:6">
      <c r="A151" s="89">
        <f t="shared" si="12"/>
        <v>1900</v>
      </c>
      <c r="F151" s="310"/>
    </row>
    <row r="152" spans="1:6">
      <c r="A152" s="89">
        <f t="shared" si="12"/>
        <v>1900</v>
      </c>
      <c r="F152" s="310"/>
    </row>
    <row r="153" spans="1:6">
      <c r="A153" s="89">
        <f t="shared" si="12"/>
        <v>1900</v>
      </c>
      <c r="F153" s="310"/>
    </row>
    <row r="154" spans="1:6">
      <c r="A154" s="89">
        <f t="shared" si="12"/>
        <v>1900</v>
      </c>
      <c r="F154" s="310"/>
    </row>
    <row r="155" spans="1:6">
      <c r="A155" s="89">
        <f t="shared" si="12"/>
        <v>1900</v>
      </c>
      <c r="F155" s="310"/>
    </row>
    <row r="156" spans="1:6">
      <c r="A156" s="89">
        <f t="shared" si="12"/>
        <v>1900</v>
      </c>
      <c r="F156" s="310"/>
    </row>
    <row r="157" spans="1:6">
      <c r="A157" s="89">
        <f t="shared" si="12"/>
        <v>1900</v>
      </c>
      <c r="F157" s="310"/>
    </row>
    <row r="158" spans="1:6">
      <c r="A158" s="89">
        <f t="shared" si="12"/>
        <v>1900</v>
      </c>
      <c r="F158" s="310"/>
    </row>
    <row r="159" spans="1:6">
      <c r="A159" s="89">
        <f t="shared" si="12"/>
        <v>1900</v>
      </c>
      <c r="F159" s="310"/>
    </row>
    <row r="160" spans="1:6">
      <c r="A160" s="89">
        <f t="shared" si="12"/>
        <v>1900</v>
      </c>
      <c r="F160" s="310"/>
    </row>
    <row r="161" spans="1:6">
      <c r="A161" s="89">
        <f t="shared" si="12"/>
        <v>1900</v>
      </c>
      <c r="F161" s="310"/>
    </row>
    <row r="162" spans="1:6">
      <c r="A162" s="89">
        <f t="shared" si="12"/>
        <v>1900</v>
      </c>
      <c r="F162" s="310"/>
    </row>
    <row r="163" spans="1:6">
      <c r="A163" s="89">
        <f t="shared" si="12"/>
        <v>1900</v>
      </c>
      <c r="F163" s="310"/>
    </row>
    <row r="164" spans="1:6">
      <c r="A164" s="89">
        <f t="shared" si="12"/>
        <v>1900</v>
      </c>
      <c r="F164" s="310"/>
    </row>
    <row r="165" spans="1:6">
      <c r="A165" s="89">
        <f t="shared" si="12"/>
        <v>1900</v>
      </c>
      <c r="F165" s="310"/>
    </row>
    <row r="166" spans="1:6">
      <c r="A166" s="89">
        <f t="shared" si="12"/>
        <v>1900</v>
      </c>
      <c r="F166" s="310"/>
    </row>
    <row r="167" spans="1:6">
      <c r="A167" s="89">
        <f t="shared" si="12"/>
        <v>1900</v>
      </c>
      <c r="F167" s="310"/>
    </row>
    <row r="168" spans="1:6">
      <c r="A168" s="89">
        <f t="shared" si="12"/>
        <v>1900</v>
      </c>
      <c r="F168" s="310"/>
    </row>
    <row r="169" spans="1:6">
      <c r="A169" s="89">
        <f t="shared" si="12"/>
        <v>1900</v>
      </c>
      <c r="F169" s="310"/>
    </row>
    <row r="170" spans="1:6">
      <c r="A170" s="89">
        <f t="shared" si="12"/>
        <v>1900</v>
      </c>
      <c r="F170" s="310"/>
    </row>
    <row r="171" spans="1:6">
      <c r="A171" s="89">
        <f t="shared" si="12"/>
        <v>1900</v>
      </c>
      <c r="F171" s="310"/>
    </row>
    <row r="172" spans="1:6">
      <c r="A172" s="89">
        <f t="shared" si="12"/>
        <v>1900</v>
      </c>
    </row>
    <row r="173" spans="1:6">
      <c r="A173" s="89">
        <f t="shared" si="12"/>
        <v>1900</v>
      </c>
    </row>
    <row r="174" spans="1:6">
      <c r="A174" s="89">
        <f t="shared" si="12"/>
        <v>1900</v>
      </c>
    </row>
    <row r="175" spans="1:6">
      <c r="A175" s="89">
        <f t="shared" si="12"/>
        <v>1900</v>
      </c>
    </row>
    <row r="176" spans="1:6">
      <c r="A176" s="89">
        <f t="shared" si="12"/>
        <v>1900</v>
      </c>
    </row>
    <row r="177" spans="1:1">
      <c r="A177" s="89">
        <f t="shared" si="12"/>
        <v>1900</v>
      </c>
    </row>
    <row r="178" spans="1:1">
      <c r="A178" s="89">
        <f t="shared" si="12"/>
        <v>1900</v>
      </c>
    </row>
    <row r="179" spans="1:1">
      <c r="A179" s="89">
        <f t="shared" si="12"/>
        <v>1900</v>
      </c>
    </row>
    <row r="180" spans="1:1">
      <c r="A180" s="89">
        <f t="shared" si="12"/>
        <v>1900</v>
      </c>
    </row>
    <row r="181" spans="1:1">
      <c r="A181" s="89">
        <f t="shared" si="12"/>
        <v>1900</v>
      </c>
    </row>
    <row r="182" spans="1:1">
      <c r="A182" s="89">
        <f t="shared" si="12"/>
        <v>1900</v>
      </c>
    </row>
    <row r="183" spans="1:1">
      <c r="A183" s="89">
        <f t="shared" si="12"/>
        <v>1900</v>
      </c>
    </row>
    <row r="184" spans="1:1">
      <c r="A184" s="89">
        <f t="shared" si="12"/>
        <v>1900</v>
      </c>
    </row>
    <row r="185" spans="1:1">
      <c r="A185" s="89">
        <f t="shared" si="12"/>
        <v>1900</v>
      </c>
    </row>
    <row r="186" spans="1:1">
      <c r="A186" s="89">
        <f t="shared" si="12"/>
        <v>1900</v>
      </c>
    </row>
    <row r="187" spans="1:1">
      <c r="A187" s="89">
        <f t="shared" si="12"/>
        <v>1900</v>
      </c>
    </row>
    <row r="188" spans="1:1">
      <c r="A188" s="89">
        <f t="shared" si="12"/>
        <v>1900</v>
      </c>
    </row>
    <row r="189" spans="1:1">
      <c r="A189" s="89">
        <f t="shared" si="12"/>
        <v>1900</v>
      </c>
    </row>
    <row r="190" spans="1:1">
      <c r="A190" s="89">
        <f t="shared" si="12"/>
        <v>1900</v>
      </c>
    </row>
    <row r="191" spans="1:1">
      <c r="A191" s="89">
        <f t="shared" si="12"/>
        <v>1900</v>
      </c>
    </row>
    <row r="192" spans="1:1">
      <c r="A192" s="89">
        <f t="shared" si="12"/>
        <v>1900</v>
      </c>
    </row>
    <row r="193" spans="1:1">
      <c r="A193" s="89">
        <f t="shared" si="12"/>
        <v>1900</v>
      </c>
    </row>
    <row r="194" spans="1:1">
      <c r="A194" s="89">
        <f t="shared" si="12"/>
        <v>1900</v>
      </c>
    </row>
    <row r="195" spans="1:1">
      <c r="A195" s="89">
        <f t="shared" si="12"/>
        <v>1900</v>
      </c>
    </row>
    <row r="196" spans="1:1">
      <c r="A196" s="89">
        <f t="shared" si="12"/>
        <v>1900</v>
      </c>
    </row>
    <row r="197" spans="1:1">
      <c r="A197" s="89">
        <f t="shared" si="12"/>
        <v>1900</v>
      </c>
    </row>
    <row r="198" spans="1:1">
      <c r="A198" s="89">
        <f t="shared" si="12"/>
        <v>1900</v>
      </c>
    </row>
    <row r="199" spans="1:1">
      <c r="A199" s="89">
        <f t="shared" si="12"/>
        <v>1900</v>
      </c>
    </row>
    <row r="200" spans="1:1">
      <c r="A200" s="89">
        <f t="shared" ref="A200:A263" si="13">YEAR(B200)</f>
        <v>1900</v>
      </c>
    </row>
    <row r="201" spans="1:1">
      <c r="A201" s="89">
        <f t="shared" si="13"/>
        <v>1900</v>
      </c>
    </row>
    <row r="202" spans="1:1">
      <c r="A202" s="89">
        <f t="shared" si="13"/>
        <v>1900</v>
      </c>
    </row>
    <row r="203" spans="1:1">
      <c r="A203" s="89">
        <f t="shared" si="13"/>
        <v>1900</v>
      </c>
    </row>
    <row r="204" spans="1:1">
      <c r="A204" s="89">
        <f t="shared" si="13"/>
        <v>1900</v>
      </c>
    </row>
    <row r="205" spans="1:1">
      <c r="A205" s="89">
        <f t="shared" si="13"/>
        <v>1900</v>
      </c>
    </row>
    <row r="206" spans="1:1">
      <c r="A206" s="89">
        <f t="shared" si="13"/>
        <v>1900</v>
      </c>
    </row>
    <row r="207" spans="1:1">
      <c r="A207" s="89">
        <f t="shared" si="13"/>
        <v>1900</v>
      </c>
    </row>
    <row r="208" spans="1:1">
      <c r="A208" s="89">
        <f t="shared" si="13"/>
        <v>1900</v>
      </c>
    </row>
    <row r="209" spans="1:1">
      <c r="A209" s="89">
        <f t="shared" si="13"/>
        <v>1900</v>
      </c>
    </row>
    <row r="210" spans="1:1">
      <c r="A210" s="89">
        <f t="shared" si="13"/>
        <v>1900</v>
      </c>
    </row>
    <row r="211" spans="1:1">
      <c r="A211" s="89">
        <f t="shared" si="13"/>
        <v>1900</v>
      </c>
    </row>
    <row r="212" spans="1:1">
      <c r="A212" s="89">
        <f t="shared" si="13"/>
        <v>1900</v>
      </c>
    </row>
    <row r="213" spans="1:1">
      <c r="A213" s="89">
        <f t="shared" si="13"/>
        <v>1900</v>
      </c>
    </row>
    <row r="214" spans="1:1">
      <c r="A214" s="89">
        <f t="shared" si="13"/>
        <v>1900</v>
      </c>
    </row>
    <row r="215" spans="1:1">
      <c r="A215" s="89">
        <f t="shared" si="13"/>
        <v>1900</v>
      </c>
    </row>
    <row r="216" spans="1:1">
      <c r="A216" s="89">
        <f t="shared" si="13"/>
        <v>1900</v>
      </c>
    </row>
    <row r="217" spans="1:1">
      <c r="A217" s="89">
        <f t="shared" si="13"/>
        <v>1900</v>
      </c>
    </row>
    <row r="218" spans="1:1">
      <c r="A218" s="89">
        <f t="shared" si="13"/>
        <v>1900</v>
      </c>
    </row>
    <row r="219" spans="1:1">
      <c r="A219" s="89">
        <f t="shared" si="13"/>
        <v>1900</v>
      </c>
    </row>
    <row r="220" spans="1:1">
      <c r="A220" s="89">
        <f t="shared" si="13"/>
        <v>1900</v>
      </c>
    </row>
    <row r="221" spans="1:1">
      <c r="A221" s="89">
        <f t="shared" si="13"/>
        <v>1900</v>
      </c>
    </row>
    <row r="222" spans="1:1">
      <c r="A222" s="89">
        <f t="shared" si="13"/>
        <v>1900</v>
      </c>
    </row>
    <row r="223" spans="1:1">
      <c r="A223" s="89">
        <f t="shared" si="13"/>
        <v>1900</v>
      </c>
    </row>
    <row r="224" spans="1:1">
      <c r="A224" s="89">
        <f t="shared" si="13"/>
        <v>1900</v>
      </c>
    </row>
    <row r="225" spans="1:1">
      <c r="A225" s="89">
        <f t="shared" si="13"/>
        <v>1900</v>
      </c>
    </row>
    <row r="226" spans="1:1">
      <c r="A226" s="89">
        <f t="shared" si="13"/>
        <v>1900</v>
      </c>
    </row>
    <row r="227" spans="1:1">
      <c r="A227" s="89">
        <f t="shared" si="13"/>
        <v>1900</v>
      </c>
    </row>
    <row r="228" spans="1:1">
      <c r="A228" s="89">
        <f t="shared" si="13"/>
        <v>1900</v>
      </c>
    </row>
    <row r="229" spans="1:1">
      <c r="A229" s="89">
        <f t="shared" si="13"/>
        <v>1900</v>
      </c>
    </row>
    <row r="230" spans="1:1">
      <c r="A230" s="89">
        <f t="shared" si="13"/>
        <v>1900</v>
      </c>
    </row>
    <row r="231" spans="1:1">
      <c r="A231" s="89">
        <f t="shared" si="13"/>
        <v>1900</v>
      </c>
    </row>
    <row r="232" spans="1:1">
      <c r="A232" s="89">
        <f t="shared" si="13"/>
        <v>1900</v>
      </c>
    </row>
    <row r="233" spans="1:1">
      <c r="A233" s="89">
        <f t="shared" si="13"/>
        <v>1900</v>
      </c>
    </row>
    <row r="234" spans="1:1">
      <c r="A234" s="89">
        <f t="shared" si="13"/>
        <v>1900</v>
      </c>
    </row>
    <row r="235" spans="1:1">
      <c r="A235" s="89">
        <f t="shared" si="13"/>
        <v>1900</v>
      </c>
    </row>
    <row r="236" spans="1:1">
      <c r="A236" s="89">
        <f t="shared" si="13"/>
        <v>1900</v>
      </c>
    </row>
    <row r="237" spans="1:1">
      <c r="A237" s="89">
        <f t="shared" si="13"/>
        <v>1900</v>
      </c>
    </row>
    <row r="238" spans="1:1">
      <c r="A238" s="89">
        <f t="shared" si="13"/>
        <v>1900</v>
      </c>
    </row>
    <row r="239" spans="1:1">
      <c r="A239" s="89">
        <f t="shared" si="13"/>
        <v>1900</v>
      </c>
    </row>
    <row r="240" spans="1:1">
      <c r="A240" s="89">
        <f t="shared" si="13"/>
        <v>1900</v>
      </c>
    </row>
    <row r="241" spans="1:1">
      <c r="A241" s="89">
        <f t="shared" si="13"/>
        <v>1900</v>
      </c>
    </row>
    <row r="242" spans="1:1">
      <c r="A242" s="89">
        <f t="shared" si="13"/>
        <v>1900</v>
      </c>
    </row>
    <row r="243" spans="1:1">
      <c r="A243" s="89">
        <f t="shared" si="13"/>
        <v>1900</v>
      </c>
    </row>
    <row r="244" spans="1:1">
      <c r="A244" s="89">
        <f t="shared" si="13"/>
        <v>1900</v>
      </c>
    </row>
    <row r="245" spans="1:1">
      <c r="A245" s="89">
        <f t="shared" si="13"/>
        <v>1900</v>
      </c>
    </row>
    <row r="246" spans="1:1">
      <c r="A246" s="89">
        <f t="shared" si="13"/>
        <v>1900</v>
      </c>
    </row>
    <row r="247" spans="1:1">
      <c r="A247" s="89">
        <f t="shared" si="13"/>
        <v>1900</v>
      </c>
    </row>
    <row r="248" spans="1:1">
      <c r="A248" s="89">
        <f t="shared" si="13"/>
        <v>1900</v>
      </c>
    </row>
    <row r="249" spans="1:1">
      <c r="A249" s="89">
        <f t="shared" si="13"/>
        <v>1900</v>
      </c>
    </row>
    <row r="250" spans="1:1">
      <c r="A250" s="89">
        <f t="shared" si="13"/>
        <v>1900</v>
      </c>
    </row>
    <row r="251" spans="1:1">
      <c r="A251" s="89">
        <f t="shared" si="13"/>
        <v>1900</v>
      </c>
    </row>
    <row r="252" spans="1:1">
      <c r="A252" s="89">
        <f t="shared" si="13"/>
        <v>1900</v>
      </c>
    </row>
    <row r="253" spans="1:1">
      <c r="A253" s="89">
        <f t="shared" si="13"/>
        <v>1900</v>
      </c>
    </row>
    <row r="254" spans="1:1">
      <c r="A254" s="89">
        <f t="shared" si="13"/>
        <v>1900</v>
      </c>
    </row>
    <row r="255" spans="1:1">
      <c r="A255" s="89">
        <f t="shared" si="13"/>
        <v>1900</v>
      </c>
    </row>
    <row r="256" spans="1:1">
      <c r="A256" s="89">
        <f t="shared" si="13"/>
        <v>1900</v>
      </c>
    </row>
    <row r="257" spans="1:1">
      <c r="A257" s="89">
        <f t="shared" si="13"/>
        <v>1900</v>
      </c>
    </row>
    <row r="258" spans="1:1">
      <c r="A258" s="89">
        <f t="shared" si="13"/>
        <v>1900</v>
      </c>
    </row>
    <row r="259" spans="1:1">
      <c r="A259" s="89">
        <f t="shared" si="13"/>
        <v>1900</v>
      </c>
    </row>
    <row r="260" spans="1:1">
      <c r="A260" s="89">
        <f t="shared" si="13"/>
        <v>1900</v>
      </c>
    </row>
    <row r="261" spans="1:1">
      <c r="A261" s="89">
        <f t="shared" si="13"/>
        <v>1900</v>
      </c>
    </row>
    <row r="262" spans="1:1">
      <c r="A262" s="89">
        <f t="shared" si="13"/>
        <v>1900</v>
      </c>
    </row>
    <row r="263" spans="1:1">
      <c r="A263" s="89">
        <f t="shared" si="13"/>
        <v>1900</v>
      </c>
    </row>
    <row r="264" spans="1:1">
      <c r="A264" s="89">
        <f t="shared" ref="A264:A327" si="14">YEAR(B264)</f>
        <v>1900</v>
      </c>
    </row>
    <row r="265" spans="1:1">
      <c r="A265" s="89">
        <f t="shared" si="14"/>
        <v>1900</v>
      </c>
    </row>
    <row r="266" spans="1:1">
      <c r="A266" s="89">
        <f t="shared" si="14"/>
        <v>1900</v>
      </c>
    </row>
    <row r="267" spans="1:1">
      <c r="A267" s="89">
        <f t="shared" si="14"/>
        <v>1900</v>
      </c>
    </row>
    <row r="268" spans="1:1">
      <c r="A268" s="89">
        <f t="shared" si="14"/>
        <v>1900</v>
      </c>
    </row>
    <row r="269" spans="1:1">
      <c r="A269" s="89">
        <f t="shared" si="14"/>
        <v>1900</v>
      </c>
    </row>
    <row r="270" spans="1:1">
      <c r="A270" s="89">
        <f t="shared" si="14"/>
        <v>1900</v>
      </c>
    </row>
    <row r="271" spans="1:1">
      <c r="A271" s="89">
        <f t="shared" si="14"/>
        <v>1900</v>
      </c>
    </row>
    <row r="272" spans="1:1">
      <c r="A272" s="89">
        <f t="shared" si="14"/>
        <v>1900</v>
      </c>
    </row>
    <row r="273" spans="1:1">
      <c r="A273" s="89">
        <f t="shared" si="14"/>
        <v>1900</v>
      </c>
    </row>
    <row r="274" spans="1:1">
      <c r="A274" s="89">
        <f t="shared" si="14"/>
        <v>1900</v>
      </c>
    </row>
    <row r="275" spans="1:1">
      <c r="A275" s="89">
        <f t="shared" si="14"/>
        <v>1900</v>
      </c>
    </row>
    <row r="276" spans="1:1">
      <c r="A276" s="89">
        <f t="shared" si="14"/>
        <v>1900</v>
      </c>
    </row>
    <row r="277" spans="1:1">
      <c r="A277" s="89">
        <f t="shared" si="14"/>
        <v>1900</v>
      </c>
    </row>
    <row r="278" spans="1:1">
      <c r="A278" s="89">
        <f t="shared" si="14"/>
        <v>1900</v>
      </c>
    </row>
    <row r="279" spans="1:1">
      <c r="A279" s="89">
        <f t="shared" si="14"/>
        <v>1900</v>
      </c>
    </row>
    <row r="280" spans="1:1">
      <c r="A280" s="89">
        <f t="shared" si="14"/>
        <v>1900</v>
      </c>
    </row>
    <row r="281" spans="1:1">
      <c r="A281" s="89">
        <f t="shared" si="14"/>
        <v>1900</v>
      </c>
    </row>
    <row r="282" spans="1:1">
      <c r="A282" s="89">
        <f t="shared" si="14"/>
        <v>1900</v>
      </c>
    </row>
    <row r="283" spans="1:1">
      <c r="A283" s="89">
        <f t="shared" si="14"/>
        <v>1900</v>
      </c>
    </row>
    <row r="284" spans="1:1">
      <c r="A284" s="89">
        <f t="shared" si="14"/>
        <v>1900</v>
      </c>
    </row>
    <row r="285" spans="1:1">
      <c r="A285" s="89">
        <f t="shared" si="14"/>
        <v>1900</v>
      </c>
    </row>
    <row r="286" spans="1:1">
      <c r="A286" s="89">
        <f t="shared" si="14"/>
        <v>1900</v>
      </c>
    </row>
    <row r="287" spans="1:1">
      <c r="A287" s="89">
        <f t="shared" si="14"/>
        <v>1900</v>
      </c>
    </row>
    <row r="288" spans="1:1">
      <c r="A288" s="89">
        <f t="shared" si="14"/>
        <v>1900</v>
      </c>
    </row>
    <row r="289" spans="1:1">
      <c r="A289" s="89">
        <f t="shared" si="14"/>
        <v>1900</v>
      </c>
    </row>
    <row r="290" spans="1:1">
      <c r="A290" s="89">
        <f t="shared" si="14"/>
        <v>1900</v>
      </c>
    </row>
    <row r="291" spans="1:1">
      <c r="A291" s="89">
        <f t="shared" si="14"/>
        <v>1900</v>
      </c>
    </row>
    <row r="292" spans="1:1">
      <c r="A292" s="89">
        <f t="shared" si="14"/>
        <v>1900</v>
      </c>
    </row>
    <row r="293" spans="1:1">
      <c r="A293" s="89">
        <f t="shared" si="14"/>
        <v>1900</v>
      </c>
    </row>
    <row r="294" spans="1:1">
      <c r="A294" s="89">
        <f t="shared" si="14"/>
        <v>1900</v>
      </c>
    </row>
    <row r="295" spans="1:1">
      <c r="A295" s="89">
        <f t="shared" si="14"/>
        <v>1900</v>
      </c>
    </row>
    <row r="296" spans="1:1">
      <c r="A296" s="89">
        <f t="shared" si="14"/>
        <v>1900</v>
      </c>
    </row>
    <row r="297" spans="1:1">
      <c r="A297" s="89">
        <f t="shared" si="14"/>
        <v>1900</v>
      </c>
    </row>
    <row r="298" spans="1:1">
      <c r="A298" s="89">
        <f t="shared" si="14"/>
        <v>1900</v>
      </c>
    </row>
    <row r="299" spans="1:1">
      <c r="A299" s="89">
        <f t="shared" si="14"/>
        <v>1900</v>
      </c>
    </row>
    <row r="300" spans="1:1">
      <c r="A300" s="89">
        <f t="shared" si="14"/>
        <v>1900</v>
      </c>
    </row>
    <row r="301" spans="1:1">
      <c r="A301" s="89">
        <f t="shared" si="14"/>
        <v>1900</v>
      </c>
    </row>
    <row r="302" spans="1:1">
      <c r="A302" s="89">
        <f t="shared" si="14"/>
        <v>1900</v>
      </c>
    </row>
    <row r="303" spans="1:1">
      <c r="A303" s="89">
        <f t="shared" si="14"/>
        <v>1900</v>
      </c>
    </row>
    <row r="304" spans="1:1">
      <c r="A304" s="89">
        <f t="shared" si="14"/>
        <v>1900</v>
      </c>
    </row>
    <row r="305" spans="1:1">
      <c r="A305" s="89">
        <f t="shared" si="14"/>
        <v>1900</v>
      </c>
    </row>
    <row r="306" spans="1:1">
      <c r="A306" s="89">
        <f t="shared" si="14"/>
        <v>1900</v>
      </c>
    </row>
    <row r="307" spans="1:1">
      <c r="A307" s="89">
        <f t="shared" si="14"/>
        <v>1900</v>
      </c>
    </row>
    <row r="308" spans="1:1">
      <c r="A308" s="89">
        <f t="shared" si="14"/>
        <v>1900</v>
      </c>
    </row>
    <row r="309" spans="1:1">
      <c r="A309" s="89">
        <f t="shared" si="14"/>
        <v>1900</v>
      </c>
    </row>
    <row r="310" spans="1:1">
      <c r="A310" s="89">
        <f t="shared" si="14"/>
        <v>1900</v>
      </c>
    </row>
    <row r="311" spans="1:1">
      <c r="A311" s="89">
        <f t="shared" si="14"/>
        <v>1900</v>
      </c>
    </row>
    <row r="312" spans="1:1">
      <c r="A312" s="89">
        <f t="shared" si="14"/>
        <v>1900</v>
      </c>
    </row>
    <row r="313" spans="1:1">
      <c r="A313" s="89">
        <f t="shared" si="14"/>
        <v>1900</v>
      </c>
    </row>
    <row r="314" spans="1:1">
      <c r="A314" s="89">
        <f t="shared" si="14"/>
        <v>1900</v>
      </c>
    </row>
    <row r="315" spans="1:1">
      <c r="A315" s="89">
        <f t="shared" si="14"/>
        <v>1900</v>
      </c>
    </row>
    <row r="316" spans="1:1">
      <c r="A316" s="89">
        <f t="shared" si="14"/>
        <v>1900</v>
      </c>
    </row>
    <row r="317" spans="1:1">
      <c r="A317" s="89">
        <f t="shared" si="14"/>
        <v>1900</v>
      </c>
    </row>
    <row r="318" spans="1:1">
      <c r="A318" s="89">
        <f t="shared" si="14"/>
        <v>1900</v>
      </c>
    </row>
    <row r="319" spans="1:1">
      <c r="A319" s="89">
        <f t="shared" si="14"/>
        <v>1900</v>
      </c>
    </row>
    <row r="320" spans="1:1">
      <c r="A320" s="89">
        <f t="shared" si="14"/>
        <v>1900</v>
      </c>
    </row>
    <row r="321" spans="1:1">
      <c r="A321" s="89">
        <f t="shared" si="14"/>
        <v>1900</v>
      </c>
    </row>
    <row r="322" spans="1:1">
      <c r="A322" s="89">
        <f t="shared" si="14"/>
        <v>1900</v>
      </c>
    </row>
    <row r="323" spans="1:1">
      <c r="A323" s="89">
        <f t="shared" si="14"/>
        <v>1900</v>
      </c>
    </row>
    <row r="324" spans="1:1">
      <c r="A324" s="89">
        <f t="shared" si="14"/>
        <v>1900</v>
      </c>
    </row>
    <row r="325" spans="1:1">
      <c r="A325" s="89">
        <f t="shared" si="14"/>
        <v>1900</v>
      </c>
    </row>
    <row r="326" spans="1:1">
      <c r="A326" s="89">
        <f t="shared" si="14"/>
        <v>1900</v>
      </c>
    </row>
    <row r="327" spans="1:1">
      <c r="A327" s="89">
        <f t="shared" si="14"/>
        <v>1900</v>
      </c>
    </row>
    <row r="328" spans="1:1">
      <c r="A328" s="89">
        <f t="shared" ref="A328:A391" si="15">YEAR(B328)</f>
        <v>1900</v>
      </c>
    </row>
    <row r="329" spans="1:1">
      <c r="A329" s="89">
        <f t="shared" si="15"/>
        <v>1900</v>
      </c>
    </row>
    <row r="330" spans="1:1">
      <c r="A330" s="89">
        <f t="shared" si="15"/>
        <v>1900</v>
      </c>
    </row>
    <row r="331" spans="1:1">
      <c r="A331" s="89">
        <f t="shared" si="15"/>
        <v>1900</v>
      </c>
    </row>
    <row r="332" spans="1:1">
      <c r="A332" s="89">
        <f t="shared" si="15"/>
        <v>1900</v>
      </c>
    </row>
    <row r="333" spans="1:1">
      <c r="A333" s="89">
        <f t="shared" si="15"/>
        <v>1900</v>
      </c>
    </row>
    <row r="334" spans="1:1">
      <c r="A334" s="89">
        <f t="shared" si="15"/>
        <v>1900</v>
      </c>
    </row>
    <row r="335" spans="1:1">
      <c r="A335" s="89">
        <f t="shared" si="15"/>
        <v>1900</v>
      </c>
    </row>
    <row r="336" spans="1:1">
      <c r="A336" s="89">
        <f t="shared" si="15"/>
        <v>1900</v>
      </c>
    </row>
    <row r="337" spans="1:1">
      <c r="A337" s="89">
        <f t="shared" si="15"/>
        <v>1900</v>
      </c>
    </row>
    <row r="338" spans="1:1">
      <c r="A338" s="89">
        <f t="shared" si="15"/>
        <v>1900</v>
      </c>
    </row>
    <row r="339" spans="1:1">
      <c r="A339" s="89">
        <f t="shared" si="15"/>
        <v>1900</v>
      </c>
    </row>
    <row r="340" spans="1:1">
      <c r="A340" s="89">
        <f t="shared" si="15"/>
        <v>1900</v>
      </c>
    </row>
    <row r="341" spans="1:1">
      <c r="A341" s="89">
        <f t="shared" si="15"/>
        <v>1900</v>
      </c>
    </row>
    <row r="342" spans="1:1">
      <c r="A342" s="89">
        <f t="shared" si="15"/>
        <v>1900</v>
      </c>
    </row>
    <row r="343" spans="1:1">
      <c r="A343" s="89">
        <f t="shared" si="15"/>
        <v>1900</v>
      </c>
    </row>
    <row r="344" spans="1:1">
      <c r="A344" s="89">
        <f t="shared" si="15"/>
        <v>1900</v>
      </c>
    </row>
    <row r="345" spans="1:1">
      <c r="A345" s="89">
        <f t="shared" si="15"/>
        <v>1900</v>
      </c>
    </row>
    <row r="346" spans="1:1">
      <c r="A346" s="89">
        <f t="shared" si="15"/>
        <v>1900</v>
      </c>
    </row>
    <row r="347" spans="1:1">
      <c r="A347" s="89">
        <f t="shared" si="15"/>
        <v>1900</v>
      </c>
    </row>
    <row r="348" spans="1:1">
      <c r="A348" s="89">
        <f t="shared" si="15"/>
        <v>1900</v>
      </c>
    </row>
    <row r="349" spans="1:1">
      <c r="A349" s="89">
        <f t="shared" si="15"/>
        <v>1900</v>
      </c>
    </row>
    <row r="350" spans="1:1">
      <c r="A350" s="89">
        <f t="shared" si="15"/>
        <v>1900</v>
      </c>
    </row>
    <row r="351" spans="1:1">
      <c r="A351" s="89">
        <f t="shared" si="15"/>
        <v>1900</v>
      </c>
    </row>
    <row r="352" spans="1:1">
      <c r="A352" s="89">
        <f t="shared" si="15"/>
        <v>1900</v>
      </c>
    </row>
    <row r="353" spans="1:1">
      <c r="A353" s="89">
        <f t="shared" si="15"/>
        <v>1900</v>
      </c>
    </row>
    <row r="354" spans="1:1">
      <c r="A354" s="89">
        <f t="shared" si="15"/>
        <v>1900</v>
      </c>
    </row>
    <row r="355" spans="1:1">
      <c r="A355" s="89">
        <f t="shared" si="15"/>
        <v>1900</v>
      </c>
    </row>
    <row r="356" spans="1:1">
      <c r="A356" s="89">
        <f t="shared" si="15"/>
        <v>1900</v>
      </c>
    </row>
    <row r="357" spans="1:1">
      <c r="A357" s="89">
        <f t="shared" si="15"/>
        <v>1900</v>
      </c>
    </row>
    <row r="358" spans="1:1">
      <c r="A358" s="89">
        <f t="shared" si="15"/>
        <v>1900</v>
      </c>
    </row>
    <row r="359" spans="1:1">
      <c r="A359" s="89">
        <f t="shared" si="15"/>
        <v>1900</v>
      </c>
    </row>
    <row r="360" spans="1:1">
      <c r="A360" s="89">
        <f t="shared" si="15"/>
        <v>1900</v>
      </c>
    </row>
    <row r="361" spans="1:1">
      <c r="A361" s="89">
        <f t="shared" si="15"/>
        <v>1900</v>
      </c>
    </row>
    <row r="362" spans="1:1">
      <c r="A362" s="89">
        <f t="shared" si="15"/>
        <v>1900</v>
      </c>
    </row>
    <row r="363" spans="1:1">
      <c r="A363" s="89">
        <f t="shared" si="15"/>
        <v>1900</v>
      </c>
    </row>
    <row r="364" spans="1:1">
      <c r="A364" s="89">
        <f t="shared" si="15"/>
        <v>1900</v>
      </c>
    </row>
    <row r="365" spans="1:1">
      <c r="A365" s="89">
        <f t="shared" si="15"/>
        <v>1900</v>
      </c>
    </row>
    <row r="366" spans="1:1">
      <c r="A366" s="89">
        <f t="shared" si="15"/>
        <v>1900</v>
      </c>
    </row>
    <row r="367" spans="1:1">
      <c r="A367" s="89">
        <f t="shared" si="15"/>
        <v>1900</v>
      </c>
    </row>
    <row r="368" spans="1:1">
      <c r="A368" s="89">
        <f t="shared" si="15"/>
        <v>1900</v>
      </c>
    </row>
    <row r="369" spans="1:1">
      <c r="A369" s="89">
        <f t="shared" si="15"/>
        <v>1900</v>
      </c>
    </row>
    <row r="370" spans="1:1">
      <c r="A370" s="89">
        <f t="shared" si="15"/>
        <v>1900</v>
      </c>
    </row>
    <row r="371" spans="1:1">
      <c r="A371" s="89">
        <f t="shared" si="15"/>
        <v>1900</v>
      </c>
    </row>
    <row r="372" spans="1:1">
      <c r="A372" s="89">
        <f t="shared" si="15"/>
        <v>1900</v>
      </c>
    </row>
    <row r="373" spans="1:1">
      <c r="A373" s="89">
        <f t="shared" si="15"/>
        <v>1900</v>
      </c>
    </row>
    <row r="374" spans="1:1">
      <c r="A374" s="89">
        <f t="shared" si="15"/>
        <v>1900</v>
      </c>
    </row>
    <row r="375" spans="1:1">
      <c r="A375" s="89">
        <f t="shared" si="15"/>
        <v>1900</v>
      </c>
    </row>
    <row r="376" spans="1:1">
      <c r="A376" s="89">
        <f t="shared" si="15"/>
        <v>1900</v>
      </c>
    </row>
    <row r="377" spans="1:1">
      <c r="A377" s="89">
        <f t="shared" si="15"/>
        <v>1900</v>
      </c>
    </row>
    <row r="378" spans="1:1">
      <c r="A378" s="89">
        <f t="shared" si="15"/>
        <v>1900</v>
      </c>
    </row>
    <row r="379" spans="1:1">
      <c r="A379" s="89">
        <f t="shared" si="15"/>
        <v>1900</v>
      </c>
    </row>
    <row r="380" spans="1:1">
      <c r="A380" s="89">
        <f t="shared" si="15"/>
        <v>1900</v>
      </c>
    </row>
    <row r="381" spans="1:1">
      <c r="A381" s="89">
        <f t="shared" si="15"/>
        <v>1900</v>
      </c>
    </row>
    <row r="382" spans="1:1">
      <c r="A382" s="89">
        <f t="shared" si="15"/>
        <v>1900</v>
      </c>
    </row>
    <row r="383" spans="1:1">
      <c r="A383" s="89">
        <f t="shared" si="15"/>
        <v>1900</v>
      </c>
    </row>
    <row r="384" spans="1:1">
      <c r="A384" s="89">
        <f t="shared" si="15"/>
        <v>1900</v>
      </c>
    </row>
    <row r="385" spans="1:1">
      <c r="A385" s="89">
        <f t="shared" si="15"/>
        <v>1900</v>
      </c>
    </row>
    <row r="386" spans="1:1">
      <c r="A386" s="89">
        <f t="shared" si="15"/>
        <v>1900</v>
      </c>
    </row>
    <row r="387" spans="1:1">
      <c r="A387" s="89">
        <f t="shared" si="15"/>
        <v>1900</v>
      </c>
    </row>
    <row r="388" spans="1:1">
      <c r="A388" s="89">
        <f t="shared" si="15"/>
        <v>1900</v>
      </c>
    </row>
    <row r="389" spans="1:1">
      <c r="A389" s="89">
        <f t="shared" si="15"/>
        <v>1900</v>
      </c>
    </row>
    <row r="390" spans="1:1">
      <c r="A390" s="89">
        <f t="shared" si="15"/>
        <v>1900</v>
      </c>
    </row>
    <row r="391" spans="1:1">
      <c r="A391" s="89">
        <f t="shared" si="15"/>
        <v>1900</v>
      </c>
    </row>
    <row r="392" spans="1:1">
      <c r="A392" s="89">
        <f t="shared" ref="A392:A455" si="16">YEAR(B392)</f>
        <v>1900</v>
      </c>
    </row>
    <row r="393" spans="1:1">
      <c r="A393" s="89">
        <f t="shared" si="16"/>
        <v>1900</v>
      </c>
    </row>
    <row r="394" spans="1:1">
      <c r="A394" s="89">
        <f t="shared" si="16"/>
        <v>1900</v>
      </c>
    </row>
    <row r="395" spans="1:1">
      <c r="A395" s="89">
        <f t="shared" si="16"/>
        <v>1900</v>
      </c>
    </row>
    <row r="396" spans="1:1">
      <c r="A396" s="89">
        <f t="shared" si="16"/>
        <v>1900</v>
      </c>
    </row>
    <row r="397" spans="1:1">
      <c r="A397" s="89">
        <f t="shared" si="16"/>
        <v>1900</v>
      </c>
    </row>
    <row r="398" spans="1:1">
      <c r="A398" s="89">
        <f t="shared" si="16"/>
        <v>1900</v>
      </c>
    </row>
    <row r="399" spans="1:1">
      <c r="A399" s="89">
        <f t="shared" si="16"/>
        <v>1900</v>
      </c>
    </row>
    <row r="400" spans="1:1">
      <c r="A400" s="89">
        <f t="shared" si="16"/>
        <v>1900</v>
      </c>
    </row>
    <row r="401" spans="1:1">
      <c r="A401" s="89">
        <f t="shared" si="16"/>
        <v>1900</v>
      </c>
    </row>
    <row r="402" spans="1:1">
      <c r="A402" s="89">
        <f t="shared" si="16"/>
        <v>1900</v>
      </c>
    </row>
    <row r="403" spans="1:1">
      <c r="A403" s="89">
        <f t="shared" si="16"/>
        <v>1900</v>
      </c>
    </row>
    <row r="404" spans="1:1">
      <c r="A404" s="89">
        <f t="shared" si="16"/>
        <v>1900</v>
      </c>
    </row>
    <row r="405" spans="1:1">
      <c r="A405" s="89">
        <f t="shared" si="16"/>
        <v>1900</v>
      </c>
    </row>
    <row r="406" spans="1:1">
      <c r="A406" s="89">
        <f t="shared" si="16"/>
        <v>1900</v>
      </c>
    </row>
    <row r="407" spans="1:1">
      <c r="A407" s="89">
        <f t="shared" si="16"/>
        <v>1900</v>
      </c>
    </row>
    <row r="408" spans="1:1">
      <c r="A408" s="89">
        <f t="shared" si="16"/>
        <v>1900</v>
      </c>
    </row>
    <row r="409" spans="1:1">
      <c r="A409" s="89">
        <f t="shared" si="16"/>
        <v>1900</v>
      </c>
    </row>
    <row r="410" spans="1:1">
      <c r="A410" s="89">
        <f t="shared" si="16"/>
        <v>1900</v>
      </c>
    </row>
    <row r="411" spans="1:1">
      <c r="A411" s="89">
        <f t="shared" si="16"/>
        <v>1900</v>
      </c>
    </row>
    <row r="412" spans="1:1">
      <c r="A412" s="89">
        <f t="shared" si="16"/>
        <v>1900</v>
      </c>
    </row>
    <row r="413" spans="1:1">
      <c r="A413" s="89">
        <f t="shared" si="16"/>
        <v>1900</v>
      </c>
    </row>
    <row r="414" spans="1:1">
      <c r="A414" s="89">
        <f t="shared" si="16"/>
        <v>1900</v>
      </c>
    </row>
    <row r="415" spans="1:1">
      <c r="A415" s="89">
        <f t="shared" si="16"/>
        <v>1900</v>
      </c>
    </row>
    <row r="416" spans="1:1">
      <c r="A416" s="89">
        <f t="shared" si="16"/>
        <v>1900</v>
      </c>
    </row>
    <row r="417" spans="1:1">
      <c r="A417" s="89">
        <f t="shared" si="16"/>
        <v>1900</v>
      </c>
    </row>
    <row r="418" spans="1:1">
      <c r="A418" s="89">
        <f t="shared" si="16"/>
        <v>1900</v>
      </c>
    </row>
    <row r="419" spans="1:1">
      <c r="A419" s="89">
        <f t="shared" si="16"/>
        <v>1900</v>
      </c>
    </row>
    <row r="420" spans="1:1">
      <c r="A420" s="89">
        <f t="shared" si="16"/>
        <v>1900</v>
      </c>
    </row>
    <row r="421" spans="1:1">
      <c r="A421" s="89">
        <f t="shared" si="16"/>
        <v>1900</v>
      </c>
    </row>
    <row r="422" spans="1:1">
      <c r="A422" s="89">
        <f t="shared" si="16"/>
        <v>1900</v>
      </c>
    </row>
    <row r="423" spans="1:1">
      <c r="A423" s="89">
        <f t="shared" si="16"/>
        <v>1900</v>
      </c>
    </row>
    <row r="424" spans="1:1">
      <c r="A424" s="89">
        <f t="shared" si="16"/>
        <v>1900</v>
      </c>
    </row>
    <row r="425" spans="1:1">
      <c r="A425" s="89">
        <f t="shared" si="16"/>
        <v>1900</v>
      </c>
    </row>
    <row r="426" spans="1:1">
      <c r="A426" s="89">
        <f t="shared" si="16"/>
        <v>1900</v>
      </c>
    </row>
    <row r="427" spans="1:1">
      <c r="A427" s="89">
        <f t="shared" si="16"/>
        <v>1900</v>
      </c>
    </row>
    <row r="428" spans="1:1">
      <c r="A428" s="89">
        <f t="shared" si="16"/>
        <v>1900</v>
      </c>
    </row>
    <row r="429" spans="1:1">
      <c r="A429" s="89">
        <f t="shared" si="16"/>
        <v>1900</v>
      </c>
    </row>
    <row r="430" spans="1:1">
      <c r="A430" s="89">
        <f t="shared" si="16"/>
        <v>1900</v>
      </c>
    </row>
    <row r="431" spans="1:1">
      <c r="A431" s="89">
        <f t="shared" si="16"/>
        <v>1900</v>
      </c>
    </row>
    <row r="432" spans="1:1">
      <c r="A432" s="89">
        <f t="shared" si="16"/>
        <v>1900</v>
      </c>
    </row>
    <row r="433" spans="1:1">
      <c r="A433" s="89">
        <f t="shared" si="16"/>
        <v>1900</v>
      </c>
    </row>
    <row r="434" spans="1:1">
      <c r="A434" s="89">
        <f t="shared" si="16"/>
        <v>1900</v>
      </c>
    </row>
    <row r="435" spans="1:1">
      <c r="A435" s="89">
        <f t="shared" si="16"/>
        <v>1900</v>
      </c>
    </row>
    <row r="436" spans="1:1">
      <c r="A436" s="89">
        <f t="shared" si="16"/>
        <v>1900</v>
      </c>
    </row>
    <row r="437" spans="1:1">
      <c r="A437" s="89">
        <f t="shared" si="16"/>
        <v>1900</v>
      </c>
    </row>
    <row r="438" spans="1:1">
      <c r="A438" s="89">
        <f t="shared" si="16"/>
        <v>1900</v>
      </c>
    </row>
    <row r="439" spans="1:1">
      <c r="A439" s="89">
        <f t="shared" si="16"/>
        <v>1900</v>
      </c>
    </row>
    <row r="440" spans="1:1">
      <c r="A440" s="89">
        <f t="shared" si="16"/>
        <v>1900</v>
      </c>
    </row>
    <row r="441" spans="1:1">
      <c r="A441" s="89">
        <f t="shared" si="16"/>
        <v>1900</v>
      </c>
    </row>
    <row r="442" spans="1:1">
      <c r="A442" s="89">
        <f t="shared" si="16"/>
        <v>1900</v>
      </c>
    </row>
    <row r="443" spans="1:1">
      <c r="A443" s="89">
        <f t="shared" si="16"/>
        <v>1900</v>
      </c>
    </row>
    <row r="444" spans="1:1">
      <c r="A444" s="89">
        <f t="shared" si="16"/>
        <v>1900</v>
      </c>
    </row>
    <row r="445" spans="1:1">
      <c r="A445" s="89">
        <f t="shared" si="16"/>
        <v>1900</v>
      </c>
    </row>
    <row r="446" spans="1:1">
      <c r="A446" s="89">
        <f t="shared" si="16"/>
        <v>1900</v>
      </c>
    </row>
    <row r="447" spans="1:1">
      <c r="A447" s="89">
        <f t="shared" si="16"/>
        <v>1900</v>
      </c>
    </row>
    <row r="448" spans="1:1">
      <c r="A448" s="89">
        <f t="shared" si="16"/>
        <v>1900</v>
      </c>
    </row>
    <row r="449" spans="1:1">
      <c r="A449" s="89">
        <f t="shared" si="16"/>
        <v>1900</v>
      </c>
    </row>
    <row r="450" spans="1:1">
      <c r="A450" s="89">
        <f t="shared" si="16"/>
        <v>1900</v>
      </c>
    </row>
    <row r="451" spans="1:1">
      <c r="A451" s="89">
        <f t="shared" si="16"/>
        <v>1900</v>
      </c>
    </row>
    <row r="452" spans="1:1">
      <c r="A452" s="89">
        <f t="shared" si="16"/>
        <v>1900</v>
      </c>
    </row>
    <row r="453" spans="1:1">
      <c r="A453" s="89">
        <f t="shared" si="16"/>
        <v>1900</v>
      </c>
    </row>
    <row r="454" spans="1:1">
      <c r="A454" s="89">
        <f t="shared" si="16"/>
        <v>1900</v>
      </c>
    </row>
    <row r="455" spans="1:1">
      <c r="A455" s="89">
        <f t="shared" si="16"/>
        <v>1900</v>
      </c>
    </row>
    <row r="456" spans="1:1">
      <c r="A456" s="89">
        <f t="shared" ref="A456:A507" si="17">YEAR(B456)</f>
        <v>1900</v>
      </c>
    </row>
    <row r="457" spans="1:1">
      <c r="A457" s="89">
        <f t="shared" si="17"/>
        <v>1900</v>
      </c>
    </row>
    <row r="458" spans="1:1">
      <c r="A458" s="89">
        <f t="shared" si="17"/>
        <v>1900</v>
      </c>
    </row>
    <row r="459" spans="1:1">
      <c r="A459" s="89">
        <f t="shared" si="17"/>
        <v>1900</v>
      </c>
    </row>
    <row r="460" spans="1:1">
      <c r="A460" s="89">
        <f t="shared" si="17"/>
        <v>1900</v>
      </c>
    </row>
    <row r="461" spans="1:1">
      <c r="A461" s="89">
        <f t="shared" si="17"/>
        <v>1900</v>
      </c>
    </row>
    <row r="462" spans="1:1">
      <c r="A462" s="89">
        <f t="shared" si="17"/>
        <v>1900</v>
      </c>
    </row>
    <row r="463" spans="1:1">
      <c r="A463" s="89">
        <f t="shared" si="17"/>
        <v>1900</v>
      </c>
    </row>
    <row r="464" spans="1:1">
      <c r="A464" s="89">
        <f t="shared" si="17"/>
        <v>1900</v>
      </c>
    </row>
    <row r="465" spans="1:1">
      <c r="A465" s="89">
        <f t="shared" si="17"/>
        <v>1900</v>
      </c>
    </row>
    <row r="466" spans="1:1">
      <c r="A466" s="89">
        <f t="shared" si="17"/>
        <v>1900</v>
      </c>
    </row>
    <row r="467" spans="1:1">
      <c r="A467" s="89">
        <f t="shared" si="17"/>
        <v>1900</v>
      </c>
    </row>
    <row r="468" spans="1:1">
      <c r="A468" s="89">
        <f t="shared" si="17"/>
        <v>1900</v>
      </c>
    </row>
    <row r="469" spans="1:1">
      <c r="A469" s="89">
        <f t="shared" si="17"/>
        <v>1900</v>
      </c>
    </row>
    <row r="470" spans="1:1">
      <c r="A470" s="89">
        <f t="shared" si="17"/>
        <v>1900</v>
      </c>
    </row>
    <row r="471" spans="1:1">
      <c r="A471" s="89">
        <f t="shared" si="17"/>
        <v>1900</v>
      </c>
    </row>
    <row r="472" spans="1:1">
      <c r="A472" s="89">
        <f t="shared" si="17"/>
        <v>1900</v>
      </c>
    </row>
    <row r="473" spans="1:1">
      <c r="A473" s="89">
        <f t="shared" si="17"/>
        <v>1900</v>
      </c>
    </row>
    <row r="474" spans="1:1">
      <c r="A474" s="89">
        <f t="shared" si="17"/>
        <v>1900</v>
      </c>
    </row>
    <row r="475" spans="1:1">
      <c r="A475" s="89">
        <f t="shared" si="17"/>
        <v>1900</v>
      </c>
    </row>
    <row r="476" spans="1:1">
      <c r="A476" s="89">
        <f t="shared" si="17"/>
        <v>1900</v>
      </c>
    </row>
    <row r="477" spans="1:1">
      <c r="A477" s="89">
        <f t="shared" si="17"/>
        <v>1900</v>
      </c>
    </row>
    <row r="478" spans="1:1">
      <c r="A478" s="89">
        <f t="shared" si="17"/>
        <v>1900</v>
      </c>
    </row>
    <row r="479" spans="1:1">
      <c r="A479" s="89">
        <f t="shared" si="17"/>
        <v>1900</v>
      </c>
    </row>
    <row r="480" spans="1:1">
      <c r="A480" s="89">
        <f t="shared" si="17"/>
        <v>1900</v>
      </c>
    </row>
    <row r="481" spans="1:1">
      <c r="A481" s="89">
        <f t="shared" si="17"/>
        <v>1900</v>
      </c>
    </row>
    <row r="482" spans="1:1">
      <c r="A482" s="89">
        <f t="shared" si="17"/>
        <v>1900</v>
      </c>
    </row>
    <row r="483" spans="1:1">
      <c r="A483" s="89">
        <f t="shared" si="17"/>
        <v>1900</v>
      </c>
    </row>
    <row r="484" spans="1:1">
      <c r="A484" s="89">
        <f t="shared" si="17"/>
        <v>1900</v>
      </c>
    </row>
    <row r="485" spans="1:1">
      <c r="A485" s="89">
        <f t="shared" si="17"/>
        <v>1900</v>
      </c>
    </row>
    <row r="486" spans="1:1">
      <c r="A486" s="89">
        <f t="shared" si="17"/>
        <v>1900</v>
      </c>
    </row>
    <row r="487" spans="1:1">
      <c r="A487" s="89">
        <f t="shared" si="17"/>
        <v>1900</v>
      </c>
    </row>
    <row r="488" spans="1:1">
      <c r="A488" s="89">
        <f t="shared" si="17"/>
        <v>1900</v>
      </c>
    </row>
    <row r="489" spans="1:1">
      <c r="A489" s="89">
        <f t="shared" si="17"/>
        <v>1900</v>
      </c>
    </row>
    <row r="490" spans="1:1">
      <c r="A490" s="89">
        <f t="shared" si="17"/>
        <v>1900</v>
      </c>
    </row>
    <row r="491" spans="1:1">
      <c r="A491" s="89">
        <f t="shared" si="17"/>
        <v>1900</v>
      </c>
    </row>
    <row r="492" spans="1:1">
      <c r="A492" s="89">
        <f t="shared" si="17"/>
        <v>1900</v>
      </c>
    </row>
    <row r="493" spans="1:1">
      <c r="A493" s="89">
        <f t="shared" si="17"/>
        <v>1900</v>
      </c>
    </row>
    <row r="494" spans="1:1">
      <c r="A494" s="89">
        <f t="shared" si="17"/>
        <v>1900</v>
      </c>
    </row>
    <row r="495" spans="1:1">
      <c r="A495" s="89">
        <f t="shared" si="17"/>
        <v>1900</v>
      </c>
    </row>
    <row r="496" spans="1:1">
      <c r="A496" s="89">
        <f t="shared" si="17"/>
        <v>1900</v>
      </c>
    </row>
    <row r="497" spans="1:1">
      <c r="A497" s="89">
        <f t="shared" si="17"/>
        <v>1900</v>
      </c>
    </row>
    <row r="498" spans="1:1">
      <c r="A498" s="89">
        <f t="shared" si="17"/>
        <v>1900</v>
      </c>
    </row>
    <row r="499" spans="1:1">
      <c r="A499" s="89">
        <f t="shared" si="17"/>
        <v>1900</v>
      </c>
    </row>
    <row r="500" spans="1:1">
      <c r="A500" s="89">
        <f t="shared" si="17"/>
        <v>1900</v>
      </c>
    </row>
    <row r="501" spans="1:1">
      <c r="A501" s="89">
        <f t="shared" si="17"/>
        <v>1900</v>
      </c>
    </row>
    <row r="502" spans="1:1">
      <c r="A502" s="89">
        <f t="shared" si="17"/>
        <v>1900</v>
      </c>
    </row>
    <row r="503" spans="1:1">
      <c r="A503" s="89">
        <f t="shared" si="17"/>
        <v>1900</v>
      </c>
    </row>
    <row r="504" spans="1:1">
      <c r="A504" s="89">
        <f t="shared" si="17"/>
        <v>1900</v>
      </c>
    </row>
    <row r="505" spans="1:1">
      <c r="A505" s="89">
        <f t="shared" si="17"/>
        <v>1900</v>
      </c>
    </row>
    <row r="506" spans="1:1">
      <c r="A506" s="89">
        <f t="shared" si="17"/>
        <v>1900</v>
      </c>
    </row>
    <row r="507" spans="1:1">
      <c r="A507" s="89">
        <f t="shared" si="17"/>
        <v>1900</v>
      </c>
    </row>
  </sheetData>
  <mergeCells count="3">
    <mergeCell ref="B5:F5"/>
    <mergeCell ref="I5:M5"/>
    <mergeCell ref="O5:S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09"/>
  <sheetViews>
    <sheetView topLeftCell="B1" workbookViewId="0">
      <selection activeCell="B1" sqref="B1"/>
    </sheetView>
  </sheetViews>
  <sheetFormatPr defaultRowHeight="15"/>
  <cols>
    <col min="1" max="1" width="9.140625" style="89" hidden="1" customWidth="1"/>
    <col min="2" max="2" width="9.28515625" style="428" bestFit="1" customWidth="1"/>
    <col min="3" max="3" width="5.42578125" style="428" bestFit="1" customWidth="1"/>
    <col min="4" max="4" width="5" style="428" bestFit="1" customWidth="1"/>
    <col min="5" max="5" width="6" style="428" bestFit="1" customWidth="1"/>
    <col min="6" max="6" width="5" style="428" bestFit="1" customWidth="1"/>
    <col min="7" max="7" width="6" style="244" bestFit="1" customWidth="1"/>
    <col min="8" max="9" width="5" style="244" bestFit="1" customWidth="1"/>
    <col min="10" max="11" width="10" style="244" customWidth="1"/>
    <col min="12" max="12" width="12.42578125" style="428" customWidth="1"/>
    <col min="13" max="13" width="3.28515625" style="428" customWidth="1"/>
    <col min="14" max="14" width="9.140625" style="428"/>
    <col min="15" max="15" width="17.28515625" style="428" bestFit="1" customWidth="1"/>
    <col min="16" max="16" width="15.5703125" style="428" bestFit="1" customWidth="1"/>
    <col min="17" max="17" width="11.85546875" style="428" bestFit="1" customWidth="1"/>
    <col min="18" max="18" width="17.85546875" style="428" bestFit="1" customWidth="1"/>
    <col min="19" max="19" width="3.140625" style="428" customWidth="1"/>
    <col min="20" max="20" width="9.85546875" style="428" bestFit="1" customWidth="1"/>
    <col min="21" max="21" width="17.28515625" style="428" bestFit="1" customWidth="1"/>
    <col min="22" max="22" width="15.5703125" style="428" bestFit="1" customWidth="1"/>
    <col min="23" max="23" width="11.85546875" style="428" bestFit="1" customWidth="1"/>
    <col min="24" max="24" width="17.85546875" style="428" bestFit="1" customWidth="1"/>
    <col min="25" max="16384" width="9.140625" style="428"/>
  </cols>
  <sheetData>
    <row r="1" spans="1:113">
      <c r="N1" s="434">
        <f>(LARGE(B9:B512,1))</f>
        <v>42705</v>
      </c>
      <c r="S1" s="310"/>
    </row>
    <row r="2" spans="1:113">
      <c r="N2" s="434">
        <f>MATCH(N1,B9:B512,0)+8</f>
        <v>122</v>
      </c>
    </row>
    <row r="3" spans="1:113">
      <c r="N3" s="434" t="str">
        <f ca="1">IF(MONTH(INDIRECT(CONCATENATE("B",N2)))=12, "Calendar Year", "Financial year")</f>
        <v>Calendar Year</v>
      </c>
    </row>
    <row r="5" spans="1:113">
      <c r="B5" s="121"/>
      <c r="C5" s="121"/>
      <c r="D5" s="121"/>
      <c r="E5" s="121"/>
      <c r="F5" s="121"/>
      <c r="G5" s="120"/>
      <c r="H5" s="120"/>
      <c r="I5" s="120"/>
      <c r="J5" s="120"/>
      <c r="K5" s="120"/>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50"/>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row>
    <row r="6" spans="1:113">
      <c r="A6" s="121"/>
      <c r="B6" s="121"/>
      <c r="C6" s="121"/>
      <c r="D6" s="121"/>
      <c r="E6" s="121"/>
      <c r="F6" s="121"/>
      <c r="G6" s="120"/>
      <c r="H6" s="120"/>
      <c r="I6" s="120"/>
      <c r="J6" s="120"/>
      <c r="K6" s="120"/>
      <c r="L6" s="121"/>
      <c r="M6" s="121"/>
      <c r="N6" s="121"/>
      <c r="O6" s="121"/>
      <c r="P6" s="121"/>
      <c r="Q6" s="121"/>
      <c r="R6" s="121"/>
      <c r="S6" s="121"/>
      <c r="T6" s="121"/>
      <c r="U6" s="121"/>
      <c r="V6" s="121"/>
      <c r="W6" s="121"/>
      <c r="X6" s="121"/>
      <c r="Y6" s="121"/>
      <c r="Z6" s="121"/>
      <c r="AA6" s="121"/>
      <c r="AB6" s="121"/>
      <c r="AC6" s="121"/>
      <c r="AD6" s="121"/>
      <c r="AE6" s="121"/>
      <c r="AF6" s="121"/>
      <c r="AG6" s="121"/>
      <c r="AH6" s="121"/>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50"/>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row>
    <row r="7" spans="1:113" ht="15.75" thickBot="1">
      <c r="B7" s="15" t="s">
        <v>586</v>
      </c>
      <c r="C7" s="15"/>
      <c r="D7" s="15"/>
      <c r="E7" s="15"/>
      <c r="F7" s="15"/>
      <c r="G7" s="15"/>
      <c r="H7" s="15"/>
      <c r="I7" s="15"/>
      <c r="J7" s="15"/>
      <c r="K7" s="15"/>
      <c r="L7" s="15"/>
      <c r="N7" s="15" t="s">
        <v>581</v>
      </c>
      <c r="O7" s="15"/>
      <c r="P7" s="15"/>
      <c r="Q7" s="15"/>
      <c r="R7" s="15"/>
      <c r="S7" s="109"/>
      <c r="T7" s="15" t="s">
        <v>582</v>
      </c>
      <c r="U7" s="15"/>
      <c r="V7" s="15"/>
      <c r="W7" s="15"/>
      <c r="X7" s="15"/>
    </row>
    <row r="8" spans="1:113" ht="60.75" thickBot="1">
      <c r="B8" s="90" t="s">
        <v>40</v>
      </c>
      <c r="C8" s="91" t="s">
        <v>79</v>
      </c>
      <c r="D8" s="91" t="s">
        <v>80</v>
      </c>
      <c r="E8" s="91" t="s">
        <v>81</v>
      </c>
      <c r="F8" s="91" t="s">
        <v>82</v>
      </c>
      <c r="G8" s="91" t="s">
        <v>83</v>
      </c>
      <c r="H8" s="91" t="s">
        <v>84</v>
      </c>
      <c r="I8" s="91" t="s">
        <v>85</v>
      </c>
      <c r="J8" s="92" t="s">
        <v>587</v>
      </c>
      <c r="K8" s="91" t="s">
        <v>588</v>
      </c>
      <c r="L8" s="91" t="s">
        <v>585</v>
      </c>
      <c r="M8" s="433"/>
      <c r="N8" s="57" t="s">
        <v>86</v>
      </c>
      <c r="O8" s="91" t="s">
        <v>74</v>
      </c>
      <c r="P8" s="91" t="s">
        <v>75</v>
      </c>
      <c r="Q8" s="91" t="s">
        <v>585</v>
      </c>
      <c r="R8" s="92" t="s">
        <v>76</v>
      </c>
      <c r="S8" s="111"/>
      <c r="T8" s="57" t="s">
        <v>86</v>
      </c>
      <c r="U8" s="91" t="s">
        <v>74</v>
      </c>
      <c r="V8" s="91" t="s">
        <v>75</v>
      </c>
      <c r="W8" s="91" t="s">
        <v>585</v>
      </c>
      <c r="X8" s="92" t="s">
        <v>76</v>
      </c>
      <c r="Y8" s="433"/>
      <c r="Z8" s="433"/>
      <c r="AA8" s="433"/>
      <c r="AB8" s="433"/>
      <c r="AC8" s="433"/>
      <c r="AD8" s="433"/>
      <c r="AE8" s="433"/>
      <c r="AF8" s="433"/>
      <c r="AG8" s="433"/>
      <c r="AH8" s="433"/>
      <c r="AI8" s="433"/>
      <c r="AJ8" s="433"/>
      <c r="AK8" s="433"/>
      <c r="AL8" s="433"/>
    </row>
    <row r="9" spans="1:113">
      <c r="A9" s="89">
        <f>YEAR(B9)</f>
        <v>1989</v>
      </c>
      <c r="B9" s="69">
        <v>32752</v>
      </c>
      <c r="C9" s="123">
        <v>12.1</v>
      </c>
      <c r="D9" s="123">
        <v>5.0999999999999996</v>
      </c>
      <c r="E9" s="124">
        <v>35.299999999999997</v>
      </c>
      <c r="F9" s="123">
        <v>4.5999999999999996</v>
      </c>
      <c r="G9" s="123">
        <v>104.7</v>
      </c>
      <c r="H9" s="123">
        <v>2.5</v>
      </c>
      <c r="I9" s="124">
        <v>17.5</v>
      </c>
      <c r="J9" s="123">
        <v>181.9</v>
      </c>
      <c r="K9" s="67">
        <f>J9-G9</f>
        <v>77.2</v>
      </c>
      <c r="L9" s="129">
        <f>G9/J9</f>
        <v>0.57559098405717424</v>
      </c>
      <c r="N9" s="94">
        <f t="shared" ref="N9:N16" ca="1" si="0">N10-1</f>
        <v>2007</v>
      </c>
      <c r="O9" s="98">
        <f t="shared" ref="O9:O18" ca="1" si="1">SUMIF($A$9:$A$509,$N9,G$9:G$509)</f>
        <v>1038.8</v>
      </c>
      <c r="P9" s="98">
        <f ca="1">R9-O9</f>
        <v>1022.3</v>
      </c>
      <c r="Q9" s="105">
        <f ca="1">O9/R9</f>
        <v>0.50400271699577892</v>
      </c>
      <c r="R9" s="112">
        <f t="shared" ref="R9:R18" ca="1" si="2">SUMIF($A$9:$A$509,$N9,J$9:J$509)</f>
        <v>2061.1</v>
      </c>
      <c r="S9" s="110"/>
      <c r="T9" s="94" t="str">
        <f t="shared" ref="T9:T18" ca="1" si="3">IF($N$3="Calendar Year",CONCATENATE(N9-1,"-",N9),CONCATENATE(N9,"-",N9+1))</f>
        <v>2006-2007</v>
      </c>
      <c r="U9" s="98">
        <f ca="1">IF($N$3="Calendar Year",SUMIF($B$9:$B$509,LARGE($B$9:$B$509,39),G$9:G$509)+SUMIF($B$9:$B$509,LARGE($B$9:$B$509,40),G$9:G$509)+SUMIF($B$9:$B$509,LARGE($B$9:$B$509,41),G$9:G$509)+SUMIF($B$9:$B$509,LARGE($B$9:$B$509,42),G$9:G$509),SUMIF($B$9:$B$509,LARGE($B$9:$B$509,37),G$9:G$509)+SUMIF($B$9:$B$509,LARGE($B$9:$B$509,38),G$9:G$509)+SUMIF($B$9:$B$509,LARGE($B$9:$B$509,39),G$9:G$509)+SUMIF($B$9:$B$509,LARGE($B$9:$B$509,40),G$9:G$509))</f>
        <v>839.2</v>
      </c>
      <c r="V9" s="98">
        <f ca="1">X9-U9</f>
        <v>875.39999999999986</v>
      </c>
      <c r="W9" s="105">
        <f ca="1">U9/X9</f>
        <v>0.48944360200629888</v>
      </c>
      <c r="X9" s="117">
        <f ca="1">IF($N$3="Calendar Year",SUMIF($B$9:$B$509,LARGE($B$9:$B$509,39),J$9:J$509)+SUMIF($B$9:$B$509,LARGE($B$9:$B$509,40),J$9:J$509)+SUMIF($B$9:$B$509,LARGE($B$9:$B$509,41),J$9:J$509)+SUMIF($B$9:$B$509,LARGE($B$9:$B$509,42),J$9:J$509),SUMIF($B$9:$B$509,LARGE($B$9:$B$509,37),J$9:J$509)+SUMIF($B$9:$B$509,LARGE($B$9:$B$509,38),J$9:J$509)+SUMIF($B$9:$B$509,LARGE($B$9:$B$509,39),J$9:J$509)+SUMIF($B$9:$B$509,LARGE($B$9:$B$509,40),J$9:J$509))</f>
        <v>1714.6</v>
      </c>
    </row>
    <row r="10" spans="1:113">
      <c r="A10" s="89">
        <f t="shared" ref="A10:A73" si="4">YEAR(B10)</f>
        <v>1988</v>
      </c>
      <c r="B10" s="69">
        <v>32478</v>
      </c>
      <c r="C10" s="125">
        <v>15.7</v>
      </c>
      <c r="D10" s="125">
        <v>6.6</v>
      </c>
      <c r="E10" s="126">
        <v>36</v>
      </c>
      <c r="F10" s="125">
        <v>6.5</v>
      </c>
      <c r="G10" s="125">
        <v>106.3</v>
      </c>
      <c r="H10" s="125">
        <v>3</v>
      </c>
      <c r="I10" s="126">
        <v>21.1</v>
      </c>
      <c r="J10" s="125">
        <v>195.1</v>
      </c>
      <c r="K10" s="77">
        <f t="shared" ref="K10:K73" si="5">J10-G10</f>
        <v>88.8</v>
      </c>
      <c r="L10" s="130">
        <f t="shared" ref="L10:L73" si="6">G10/J10</f>
        <v>0.54484879548949261</v>
      </c>
      <c r="N10" s="95">
        <f t="shared" ca="1" si="0"/>
        <v>2008</v>
      </c>
      <c r="O10" s="99">
        <f t="shared" ca="1" si="1"/>
        <v>1400.3999999999999</v>
      </c>
      <c r="P10" s="99">
        <f t="shared" ref="P10:P18" ca="1" si="7">R10-O10</f>
        <v>1207.9000000000003</v>
      </c>
      <c r="Q10" s="106">
        <f t="shared" ref="Q10:Q18" ca="1" si="8">O10/R10</f>
        <v>0.53690143005022417</v>
      </c>
      <c r="R10" s="113">
        <f t="shared" ca="1" si="2"/>
        <v>2608.3000000000002</v>
      </c>
      <c r="S10" s="110"/>
      <c r="T10" s="95" t="str">
        <f t="shared" ca="1" si="3"/>
        <v>2007-2008</v>
      </c>
      <c r="U10" s="99">
        <f ca="1">IF($N$3="Calendar Year",SUMIF($B$9:$B$509,LARGE($B$9:$B$509,35),G$9:G$509)+SUMIF($B$9:$B$509,LARGE($B$9:$B$509,36),G$9:G$509)+SUMIF($B$9:$B$509,LARGE($B$9:$B$509,37),G$9:G$509)+SUMIF($B$9:$B$509,LARGE($B$9:$B$509,38),G$9:G$509),SUMIF($B$9:$B$509,LARGE($B$9:$B$509,33),G$9:G$509)+SUMIF($B$9:$B$509,LARGE($B$9:$B$509,34),G$9:G$509)+SUMIF($B$9:$B$509,LARGE($B$9:$B$509,35),G$9:G$509)+SUMIF($B$9:$B$509,LARGE($B$9:$B$509,36),G$9:G$509))</f>
        <v>1259.6999999999998</v>
      </c>
      <c r="V10" s="99">
        <f t="shared" ref="V10:V18" ca="1" si="9">X10-U10</f>
        <v>1201.7000000000003</v>
      </c>
      <c r="W10" s="106">
        <f t="shared" ref="W10:W18" ca="1" si="10">U10/X10</f>
        <v>0.5117819127325911</v>
      </c>
      <c r="X10" s="118">
        <f ca="1">IF($N$3="Calendar Year",SUMIF($B$9:$B$509,LARGE($B$9:$B$509,35),J$9:J$509)+SUMIF($B$9:$B$509,LARGE($B$9:$B$509,36),J$9:J$509)+SUMIF($B$9:$B$509,LARGE($B$9:$B$509,37),J$9:J$509)+SUMIF($B$9:$B$509,LARGE($B$9:$B$509,38),J$9:J$509),SUMIF($B$9:$B$509,LARGE($B$9:$B$509,33),J$9:J$509)+SUMIF($B$9:$B$509,LARGE($B$9:$B$509,34),J$9:J$509)+SUMIF($B$9:$B$509,LARGE($B$9:$B$509,35),J$9:J$509)+SUMIF($B$9:$B$509,LARGE($B$9:$B$509,36),J$9:J$509))</f>
        <v>2461.4</v>
      </c>
    </row>
    <row r="11" spans="1:113">
      <c r="A11" s="89">
        <f t="shared" si="4"/>
        <v>1989</v>
      </c>
      <c r="B11" s="69">
        <v>32568</v>
      </c>
      <c r="C11" s="123">
        <v>11</v>
      </c>
      <c r="D11" s="123">
        <v>4.0999999999999996</v>
      </c>
      <c r="E11" s="124">
        <v>32</v>
      </c>
      <c r="F11" s="123">
        <v>3</v>
      </c>
      <c r="G11" s="123">
        <v>84.2</v>
      </c>
      <c r="H11" s="123">
        <v>3.4</v>
      </c>
      <c r="I11" s="124">
        <v>12.6</v>
      </c>
      <c r="J11" s="123">
        <v>150.4</v>
      </c>
      <c r="K11" s="67">
        <f t="shared" si="5"/>
        <v>66.2</v>
      </c>
      <c r="L11" s="129">
        <f t="shared" si="6"/>
        <v>0.55984042553191493</v>
      </c>
      <c r="N11" s="96">
        <f t="shared" ca="1" si="0"/>
        <v>2009</v>
      </c>
      <c r="O11" s="100">
        <f t="shared" ca="1" si="1"/>
        <v>1119.5999999999999</v>
      </c>
      <c r="P11" s="100">
        <f t="shared" ca="1" si="7"/>
        <v>903.60000000000014</v>
      </c>
      <c r="Q11" s="107">
        <f t="shared" ca="1" si="8"/>
        <v>0.55338078291814941</v>
      </c>
      <c r="R11" s="114">
        <f t="shared" ca="1" si="2"/>
        <v>2023.2</v>
      </c>
      <c r="S11" s="110"/>
      <c r="T11" s="96" t="str">
        <f t="shared" ca="1" si="3"/>
        <v>2008-2009</v>
      </c>
      <c r="U11" s="100">
        <f ca="1">IF($N$3="Calendar Year",SUMIF($B$9:$B$509,LARGE($B$9:$B$509,31),G$9:G$509)+SUMIF($B$9:$B$509,LARGE($B$9:$B$509,32),G$9:G$509)+SUMIF($B$9:$B$509,LARGE($B$9:$B$509,33),G$9:G$509)+SUMIF($B$9:$B$509,LARGE($B$9:$B$509,34),G$9:G$509),SUMIF($B$9:$B$509,LARGE($B$9:$B$509,29),G$9:G$509)+SUMIF($B$9:$B$509,LARGE($B$9:$B$509,30),G$9:G$509)+SUMIF($B$9:$B$509,LARGE($B$9:$B$509,31),G$9:G$509)+SUMIF($B$9:$B$509,LARGE($B$9:$B$509,32),G$9:G$509))</f>
        <v>1246.8</v>
      </c>
      <c r="V11" s="100">
        <f t="shared" ca="1" si="9"/>
        <v>976.39999999999986</v>
      </c>
      <c r="W11" s="107">
        <f t="shared" ca="1" si="10"/>
        <v>0.56081324217344375</v>
      </c>
      <c r="X11" s="119">
        <f ca="1">IF($N$3="Calendar Year",SUMIF($B$9:$B$509,LARGE($B$9:$B$509,31),J$9:J$509)+SUMIF($B$9:$B$509,LARGE($B$9:$B$509,32),J$9:J$509)+SUMIF($B$9:$B$509,LARGE($B$9:$B$509,33),J$9:J$509)+SUMIF($B$9:$B$509,LARGE($B$9:$B$509,34),J$9:J$509),SUMIF($B$9:$B$509,LARGE($B$9:$B$509,29),J$9:J$509)+SUMIF($B$9:$B$509,LARGE($B$9:$B$509,30),J$9:J$509)+SUMIF($B$9:$B$509,LARGE($B$9:$B$509,31),J$9:J$509)+SUMIF($B$9:$B$509,LARGE($B$9:$B$509,32),J$9:J$509))</f>
        <v>2223.1999999999998</v>
      </c>
    </row>
    <row r="12" spans="1:113">
      <c r="A12" s="89">
        <f t="shared" si="4"/>
        <v>1989</v>
      </c>
      <c r="B12" s="69">
        <v>32660</v>
      </c>
      <c r="C12" s="125">
        <v>11.8</v>
      </c>
      <c r="D12" s="125">
        <v>5.9</v>
      </c>
      <c r="E12" s="126">
        <v>36.5</v>
      </c>
      <c r="F12" s="125">
        <v>2.5</v>
      </c>
      <c r="G12" s="125">
        <v>92</v>
      </c>
      <c r="H12" s="125">
        <v>4.2</v>
      </c>
      <c r="I12" s="126">
        <v>17.399999999999999</v>
      </c>
      <c r="J12" s="125">
        <v>170.2</v>
      </c>
      <c r="K12" s="77">
        <f t="shared" si="5"/>
        <v>78.199999999999989</v>
      </c>
      <c r="L12" s="130">
        <f t="shared" si="6"/>
        <v>0.54054054054054057</v>
      </c>
      <c r="N12" s="95">
        <f t="shared" ca="1" si="0"/>
        <v>2010</v>
      </c>
      <c r="O12" s="99">
        <f t="shared" ca="1" si="1"/>
        <v>1401.7</v>
      </c>
      <c r="P12" s="99">
        <f t="shared" ca="1" si="7"/>
        <v>1088.5000000000002</v>
      </c>
      <c r="Q12" s="106">
        <f t="shared" ca="1" si="8"/>
        <v>0.56288651513934618</v>
      </c>
      <c r="R12" s="113">
        <f t="shared" ca="1" si="2"/>
        <v>2490.2000000000003</v>
      </c>
      <c r="S12" s="110"/>
      <c r="T12" s="95" t="str">
        <f t="shared" ca="1" si="3"/>
        <v>2009-2010</v>
      </c>
      <c r="U12" s="99">
        <f ca="1">IF($N$3="Calendar Year",SUMIF($B$9:$B$509,LARGE($B$9:$B$509,27),G$9:G$509)+SUMIF($B$9:$B$509,LARGE($B$9:$B$509,28),G$9:G$509)+SUMIF($B$9:$B$509,LARGE($B$9:$B$509,29),G$9:G$509)+SUMIF($B$9:$B$509,LARGE($B$9:$B$509,30),G$9:G$509),SUMIF($B$9:$B$509,LARGE($B$9:$B$509,25),G$9:G$509)+SUMIF($B$9:$B$509,LARGE($B$9:$B$509,26),G$9:G$509)+SUMIF($B$9:$B$509,LARGE($B$9:$B$509,27),G$9:G$509)+SUMIF($B$9:$B$509,LARGE($B$9:$B$509,28),G$9:G$509))</f>
        <v>1244</v>
      </c>
      <c r="V12" s="99">
        <f t="shared" ca="1" si="9"/>
        <v>988.59999999999991</v>
      </c>
      <c r="W12" s="106">
        <f t="shared" ca="1" si="10"/>
        <v>0.55719788587297325</v>
      </c>
      <c r="X12" s="118">
        <f ca="1">IF($N$3="Calendar Year",SUMIF($B$9:$B$509,LARGE($B$9:$B$509,27),J$9:J$509)+SUMIF($B$9:$B$509,LARGE($B$9:$B$509,28),J$9:J$509)+SUMIF($B$9:$B$509,LARGE($B$9:$B$509,29),J$9:J$509)+SUMIF($B$9:$B$509,LARGE($B$9:$B$509,30),J$9:J$509),SUMIF($B$9:$B$509,LARGE($B$9:$B$509,25),J$9:J$509)+SUMIF($B$9:$B$509,LARGE($B$9:$B$509,26),J$9:J$509)+SUMIF($B$9:$B$509,LARGE($B$9:$B$509,27),J$9:J$509)+SUMIF($B$9:$B$509,LARGE($B$9:$B$509,28),J$9:J$509))</f>
        <v>2232.6</v>
      </c>
    </row>
    <row r="13" spans="1:113">
      <c r="A13" s="89">
        <f t="shared" si="4"/>
        <v>1989</v>
      </c>
      <c r="B13" s="69">
        <v>32752</v>
      </c>
      <c r="C13" s="123">
        <v>11.3</v>
      </c>
      <c r="D13" s="123">
        <v>5.2</v>
      </c>
      <c r="E13" s="124">
        <v>33.1</v>
      </c>
      <c r="F13" s="123">
        <v>2.2999999999999998</v>
      </c>
      <c r="G13" s="123">
        <v>78.900000000000006</v>
      </c>
      <c r="H13" s="123">
        <v>3.2</v>
      </c>
      <c r="I13" s="124">
        <v>17</v>
      </c>
      <c r="J13" s="123">
        <v>150.80000000000001</v>
      </c>
      <c r="K13" s="67">
        <f t="shared" si="5"/>
        <v>71.900000000000006</v>
      </c>
      <c r="L13" s="129">
        <f t="shared" si="6"/>
        <v>0.52320954907161799</v>
      </c>
      <c r="N13" s="96">
        <f t="shared" ca="1" si="0"/>
        <v>2011</v>
      </c>
      <c r="O13" s="100">
        <f t="shared" ca="1" si="1"/>
        <v>1825.3000000000002</v>
      </c>
      <c r="P13" s="100">
        <f t="shared" ca="1" si="7"/>
        <v>1748</v>
      </c>
      <c r="Q13" s="107">
        <f t="shared" ca="1" si="8"/>
        <v>0.51081633224190526</v>
      </c>
      <c r="R13" s="114">
        <f t="shared" ca="1" si="2"/>
        <v>3573.3</v>
      </c>
      <c r="S13" s="110"/>
      <c r="T13" s="96" t="str">
        <f t="shared" ca="1" si="3"/>
        <v>2010-2011</v>
      </c>
      <c r="U13" s="100">
        <f ca="1">IF($N$3="Calendar Year",SUMIF($B$9:$B$509,LARGE($B$9:$B$509,23),G$9:G$509)+SUMIF($B$9:$B$509,LARGE($B$9:$B$509,24),G$9:G$509)+SUMIF($B$9:$B$509,LARGE($B$9:$B$509,25),G$9:G$509)+SUMIF($B$9:$B$509,LARGE($B$9:$B$509,26),G$9:G$509),SUMIF($B$9:$B$509,LARGE($B$9:$B$509,21),G$9:G$509)+SUMIF($B$9:$B$509,LARGE($B$9:$B$509,22),G$9:G$509)+SUMIF($B$9:$B$509,LARGE($B$9:$B$509,23),G$9:G$509)+SUMIF($B$9:$B$509,LARGE($B$9:$B$509,24),G$9:G$509))</f>
        <v>1590.1</v>
      </c>
      <c r="V13" s="100">
        <f t="shared" ca="1" si="9"/>
        <v>1361.2000000000003</v>
      </c>
      <c r="W13" s="107">
        <f t="shared" ca="1" si="10"/>
        <v>0.53877952088909964</v>
      </c>
      <c r="X13" s="119">
        <f ca="1">IF($N$3="Calendar Year",SUMIF($B$9:$B$509,LARGE($B$9:$B$509,23),J$9:J$509)+SUMIF($B$9:$B$509,LARGE($B$9:$B$509,24),J$9:J$509)+SUMIF($B$9:$B$509,LARGE($B$9:$B$509,25),J$9:J$509)+SUMIF($B$9:$B$509,LARGE($B$9:$B$509,26),J$9:J$509),SUMIF($B$9:$B$509,LARGE($B$9:$B$509,21),J$9:J$509)+SUMIF($B$9:$B$509,LARGE($B$9:$B$509,22),J$9:J$509)+SUMIF($B$9:$B$509,LARGE($B$9:$B$509,23),J$9:J$509)+SUMIF($B$9:$B$509,LARGE($B$9:$B$509,24),J$9:J$509))</f>
        <v>2951.3</v>
      </c>
    </row>
    <row r="14" spans="1:113">
      <c r="A14" s="89">
        <f t="shared" si="4"/>
        <v>1989</v>
      </c>
      <c r="B14" s="69">
        <v>32843</v>
      </c>
      <c r="C14" s="125">
        <v>13.2</v>
      </c>
      <c r="D14" s="125">
        <v>6.3</v>
      </c>
      <c r="E14" s="126">
        <v>38.6</v>
      </c>
      <c r="F14" s="125">
        <v>3.3</v>
      </c>
      <c r="G14" s="125">
        <v>80.900000000000006</v>
      </c>
      <c r="H14" s="125">
        <v>3.3</v>
      </c>
      <c r="I14" s="126">
        <v>19.399999999999999</v>
      </c>
      <c r="J14" s="125">
        <v>165.1</v>
      </c>
      <c r="K14" s="77">
        <f t="shared" si="5"/>
        <v>84.199999999999989</v>
      </c>
      <c r="L14" s="130">
        <f t="shared" si="6"/>
        <v>0.49000605693519084</v>
      </c>
      <c r="N14" s="95">
        <f t="shared" ca="1" si="0"/>
        <v>2012</v>
      </c>
      <c r="O14" s="99">
        <f t="shared" ca="1" si="1"/>
        <v>2052.6</v>
      </c>
      <c r="P14" s="99">
        <f t="shared" ca="1" si="7"/>
        <v>1603.1999999999998</v>
      </c>
      <c r="Q14" s="106">
        <f t="shared" ca="1" si="8"/>
        <v>0.56146397505333989</v>
      </c>
      <c r="R14" s="113">
        <f t="shared" ca="1" si="2"/>
        <v>3655.7999999999997</v>
      </c>
      <c r="S14" s="110"/>
      <c r="T14" s="95" t="str">
        <f t="shared" ca="1" si="3"/>
        <v>2011-2012</v>
      </c>
      <c r="U14" s="99">
        <f ca="1">IF($N$3="Calendar Year",SUMIF($B$9:$B$509,LARGE($B$9:$B$509,19),G$9:G$509)+SUMIF($B$9:$B$509,LARGE($B$9:$B$509,20),G$9:G$509)+SUMIF($B$9:$B$509,LARGE($B$9:$B$509,21),G$9:G$509)+SUMIF($B$9:$B$509,LARGE($B$9:$B$509,22),G$9:G$509),SUMIF($B$9:$B$509,LARGE($B$9:$B$509,17),G$9:G$509)+SUMIF($B$9:$B$509,LARGE($B$9:$B$509,18),G$9:G$509)+SUMIF($B$9:$B$509,LARGE($B$9:$B$509,19),G$9:G$509)+SUMIF($B$9:$B$509,LARGE($B$9:$B$509,20),G$9:G$509))</f>
        <v>2106.8000000000002</v>
      </c>
      <c r="V14" s="99">
        <f t="shared" ca="1" si="9"/>
        <v>1846.1999999999998</v>
      </c>
      <c r="W14" s="106">
        <f t="shared" ca="1" si="10"/>
        <v>0.53296230710852521</v>
      </c>
      <c r="X14" s="118">
        <f ca="1">IF($N$3="Calendar Year",SUMIF($B$9:$B$509,LARGE($B$9:$B$509,19),J$9:J$509)+SUMIF($B$9:$B$509,LARGE($B$9:$B$509,20),J$9:J$509)+SUMIF($B$9:$B$509,LARGE($B$9:$B$509,21),J$9:J$509)+SUMIF($B$9:$B$509,LARGE($B$9:$B$509,22),J$9:J$509),SUMIF($B$9:$B$509,LARGE($B$9:$B$509,17),J$9:J$509)+SUMIF($B$9:$B$509,LARGE($B$9:$B$509,18),J$9:J$509)+SUMIF($B$9:$B$509,LARGE($B$9:$B$509,19),J$9:J$509)+SUMIF($B$9:$B$509,LARGE($B$9:$B$509,20),J$9:J$509))</f>
        <v>3953</v>
      </c>
    </row>
    <row r="15" spans="1:113">
      <c r="A15" s="89">
        <f t="shared" si="4"/>
        <v>1990</v>
      </c>
      <c r="B15" s="69">
        <v>32933</v>
      </c>
      <c r="C15" s="123">
        <v>14.2</v>
      </c>
      <c r="D15" s="123">
        <v>4.9000000000000004</v>
      </c>
      <c r="E15" s="124">
        <v>29.2</v>
      </c>
      <c r="F15" s="123">
        <v>2.2000000000000002</v>
      </c>
      <c r="G15" s="123">
        <v>67.3</v>
      </c>
      <c r="H15" s="123">
        <v>2.8</v>
      </c>
      <c r="I15" s="124">
        <v>8.9</v>
      </c>
      <c r="J15" s="123">
        <v>129.5</v>
      </c>
      <c r="K15" s="67">
        <f t="shared" si="5"/>
        <v>62.2</v>
      </c>
      <c r="L15" s="129">
        <f t="shared" si="6"/>
        <v>0.5196911196911197</v>
      </c>
      <c r="N15" s="96">
        <f t="shared" ca="1" si="0"/>
        <v>2013</v>
      </c>
      <c r="O15" s="100">
        <f t="shared" ca="1" si="1"/>
        <v>1508.2</v>
      </c>
      <c r="P15" s="100">
        <f t="shared" ca="1" si="7"/>
        <v>1014.4000000000003</v>
      </c>
      <c r="Q15" s="107">
        <f t="shared" ca="1" si="8"/>
        <v>0.59787520811860773</v>
      </c>
      <c r="R15" s="114">
        <f t="shared" ca="1" si="2"/>
        <v>2522.6000000000004</v>
      </c>
      <c r="S15" s="110"/>
      <c r="T15" s="96" t="str">
        <f t="shared" ca="1" si="3"/>
        <v>2012-2013</v>
      </c>
      <c r="U15" s="100">
        <f ca="1">IF($N$3="Calendar Year",SUMIF($B$9:$B$509,LARGE($B$9:$B$509,15),G$9:G$509)+SUMIF($B$9:$B$509,LARGE($B$9:$B$509,16),G$9:G$509)+SUMIF($B$9:$B$509,LARGE($B$9:$B$509,17),G$9:G$509)+SUMIF($B$9:$B$509,LARGE($B$9:$B$509,18),G$9:G$509),SUMIF($B$9:$B$509,LARGE($B$9:$B$509,13),G$9:G$509)+SUMIF($B$9:$B$509,LARGE($B$9:$B$509,14),G$9:G$509)+SUMIF($B$9:$B$509,LARGE($B$9:$B$509,15),G$9:G$509)+SUMIF($B$9:$B$509,LARGE($B$9:$B$509,16),G$9:G$509))</f>
        <v>1763.4</v>
      </c>
      <c r="V15" s="100">
        <f t="shared" ca="1" si="9"/>
        <v>1292.0000000000005</v>
      </c>
      <c r="W15" s="107">
        <f t="shared" ca="1" si="10"/>
        <v>0.57714210905282448</v>
      </c>
      <c r="X15" s="119">
        <f ca="1">IF($N$3="Calendar Year",SUMIF($B$9:$B$509,LARGE($B$9:$B$509,15),J$9:J$509)+SUMIF($B$9:$B$509,LARGE($B$9:$B$509,16),J$9:J$509)+SUMIF($B$9:$B$509,LARGE($B$9:$B$509,17),J$9:J$509)+SUMIF($B$9:$B$509,LARGE($B$9:$B$509,18),J$9:J$509),SUMIF($B$9:$B$509,LARGE($B$9:$B$509,13),J$9:J$509)+SUMIF($B$9:$B$509,LARGE($B$9:$B$509,14),J$9:J$509)+SUMIF($B$9:$B$509,LARGE($B$9:$B$509,15),J$9:J$509)+SUMIF($B$9:$B$509,LARGE($B$9:$B$509,16),J$9:J$509))</f>
        <v>3055.4000000000005</v>
      </c>
    </row>
    <row r="16" spans="1:113">
      <c r="A16" s="89">
        <f t="shared" si="4"/>
        <v>1990</v>
      </c>
      <c r="B16" s="69">
        <v>33025</v>
      </c>
      <c r="C16" s="125">
        <v>16.399999999999999</v>
      </c>
      <c r="D16" s="125">
        <v>4.5</v>
      </c>
      <c r="E16" s="126">
        <v>27.6</v>
      </c>
      <c r="F16" s="125">
        <v>5.3</v>
      </c>
      <c r="G16" s="125">
        <v>88.3</v>
      </c>
      <c r="H16" s="125">
        <v>2.5</v>
      </c>
      <c r="I16" s="126">
        <v>17.399999999999999</v>
      </c>
      <c r="J16" s="125">
        <v>162.1</v>
      </c>
      <c r="K16" s="77">
        <f t="shared" si="5"/>
        <v>73.8</v>
      </c>
      <c r="L16" s="130">
        <f t="shared" si="6"/>
        <v>0.54472547809993832</v>
      </c>
      <c r="N16" s="95">
        <f t="shared" ca="1" si="0"/>
        <v>2014</v>
      </c>
      <c r="O16" s="99">
        <f t="shared" ca="1" si="1"/>
        <v>1045.3</v>
      </c>
      <c r="P16" s="99">
        <f t="shared" ca="1" si="7"/>
        <v>794.60000000000014</v>
      </c>
      <c r="Q16" s="106">
        <f t="shared" ca="1" si="8"/>
        <v>0.56812870264688298</v>
      </c>
      <c r="R16" s="113">
        <f t="shared" ca="1" si="2"/>
        <v>1839.9</v>
      </c>
      <c r="S16" s="110"/>
      <c r="T16" s="95" t="str">
        <f t="shared" ca="1" si="3"/>
        <v>2013-2014</v>
      </c>
      <c r="U16" s="99">
        <f ca="1">IF($N$3="Calendar Year",SUMIF($B$9:$B$509,LARGE($B$9:$B$509,11),G$9:G$509)+SUMIF($B$9:$B$509,LARGE($B$9:$B$509,12),G$9:G$509)+SUMIF($B$9:$B$509,LARGE($B$9:$B$509,13),G$9:G$509)+SUMIF($B$9:$B$509,LARGE($B$9:$B$509,14),G$9:G$509),SUMIF($B$9:$B$509,LARGE($B$9:$B$509,9),G$9:G$509)+SUMIF($B$9:$B$509,LARGE($B$9:$B$509,10),G$9:G$509)+SUMIF($B$9:$B$509,LARGE($B$9:$B$509,11),G$9:G$509)+SUMIF($B$9:$B$509,LARGE($B$9:$B$509,12),G$9:G$509))</f>
        <v>1220</v>
      </c>
      <c r="V16" s="99">
        <f t="shared" ca="1" si="9"/>
        <v>888.80000000000018</v>
      </c>
      <c r="W16" s="106">
        <f t="shared" ca="1" si="10"/>
        <v>0.57852807283763275</v>
      </c>
      <c r="X16" s="118">
        <f ca="1">IF($N$3="Calendar Year",SUMIF($B$9:$B$509,LARGE($B$9:$B$509,11),J$9:J$509)+SUMIF($B$9:$B$509,LARGE($B$9:$B$509,12),J$9:J$509)+SUMIF($B$9:$B$509,LARGE($B$9:$B$509,13),J$9:J$509)+SUMIF($B$9:$B$509,LARGE($B$9:$B$509,14),J$9:J$509),SUMIF($B$9:$B$509,LARGE($B$9:$B$509,9),J$9:J$509)+SUMIF($B$9:$B$509,LARGE($B$9:$B$509,10),J$9:J$509)+SUMIF($B$9:$B$509,LARGE($B$9:$B$509,11),J$9:J$509)+SUMIF($B$9:$B$509,LARGE($B$9:$B$509,12),J$9:J$509))</f>
        <v>2108.8000000000002</v>
      </c>
    </row>
    <row r="17" spans="1:24">
      <c r="A17" s="89">
        <f t="shared" si="4"/>
        <v>1990</v>
      </c>
      <c r="B17" s="69">
        <v>33117</v>
      </c>
      <c r="C17" s="123">
        <v>12.3</v>
      </c>
      <c r="D17" s="123">
        <v>3</v>
      </c>
      <c r="E17" s="124">
        <v>30.8</v>
      </c>
      <c r="F17" s="123">
        <v>3.8</v>
      </c>
      <c r="G17" s="123">
        <v>78.8</v>
      </c>
      <c r="H17" s="123">
        <v>1.7</v>
      </c>
      <c r="I17" s="124">
        <v>13.5</v>
      </c>
      <c r="J17" s="123">
        <v>143.69999999999999</v>
      </c>
      <c r="K17" s="67">
        <f t="shared" si="5"/>
        <v>64.899999999999991</v>
      </c>
      <c r="L17" s="129">
        <f t="shared" si="6"/>
        <v>0.54836464857341682</v>
      </c>
      <c r="N17" s="96">
        <f ca="1">N18-1</f>
        <v>2015</v>
      </c>
      <c r="O17" s="100">
        <f t="shared" ca="1" si="1"/>
        <v>843.7</v>
      </c>
      <c r="P17" s="100">
        <f t="shared" ca="1" si="7"/>
        <v>594.89999999999986</v>
      </c>
      <c r="Q17" s="107">
        <f t="shared" ca="1" si="8"/>
        <v>0.58647295982204928</v>
      </c>
      <c r="R17" s="114">
        <f t="shared" ca="1" si="2"/>
        <v>1438.6</v>
      </c>
      <c r="S17" s="110"/>
      <c r="T17" s="96" t="str">
        <f t="shared" ca="1" si="3"/>
        <v>2014-2015</v>
      </c>
      <c r="U17" s="100">
        <f ca="1">IF($N$3="Calendar Year",SUMIF($B$9:$B$509,LARGE($B$9:$B$509,7),G$9:G$509)+SUMIF($B$9:$B$509,LARGE($B$9:$B$509,8),G$9:G$509)+SUMIF($B$9:$B$509,LARGE($B$9:$B$509,9),G$9:G$509)+SUMIF($B$9:$B$509,LARGE($B$9:$B$509,10),G$9:G$509),SUMIF($B$9:$B$509,LARGE($B$9:$B$509,5),G$9:G$509)+SUMIF($B$9:$B$509,LARGE($B$9:$B$509,6),G$9:G$509)+SUMIF($B$9:$B$509,LARGE($B$9:$B$509,7),G$9:G$509)+SUMIF($B$9:$B$509,LARGE($B$9:$B$509,8),G$9:G$509))</f>
        <v>917.4</v>
      </c>
      <c r="V17" s="100">
        <f t="shared" ca="1" si="9"/>
        <v>661.30000000000007</v>
      </c>
      <c r="W17" s="107">
        <f t="shared" ca="1" si="10"/>
        <v>0.58111104072971431</v>
      </c>
      <c r="X17" s="119">
        <f ca="1">IF($N$3="Calendar Year",SUMIF($B$9:$B$509,LARGE($B$9:$B$509,7),J$9:J$509)+SUMIF($B$9:$B$509,LARGE($B$9:$B$509,8),J$9:J$509)+SUMIF($B$9:$B$509,LARGE($B$9:$B$509,9),J$9:J$509)+SUMIF($B$9:$B$509,LARGE($B$9:$B$509,10),J$9:J$509),SUMIF($B$9:$B$509,LARGE($B$9:$B$509,5),J$9:J$509)+SUMIF($B$9:$B$509,LARGE($B$9:$B$509,6),J$9:J$509)+SUMIF($B$9:$B$509,LARGE($B$9:$B$509,7),J$9:J$509)+SUMIF($B$9:$B$509,LARGE($B$9:$B$509,8),J$9:J$509))</f>
        <v>1578.7</v>
      </c>
    </row>
    <row r="18" spans="1:24" ht="15.75" thickBot="1">
      <c r="A18" s="89">
        <f t="shared" si="4"/>
        <v>1990</v>
      </c>
      <c r="B18" s="69">
        <v>33208</v>
      </c>
      <c r="C18" s="125">
        <v>18</v>
      </c>
      <c r="D18" s="125">
        <v>2.6</v>
      </c>
      <c r="E18" s="126">
        <v>38.299999999999997</v>
      </c>
      <c r="F18" s="125">
        <v>4</v>
      </c>
      <c r="G18" s="125">
        <v>84.2</v>
      </c>
      <c r="H18" s="125">
        <v>3.1</v>
      </c>
      <c r="I18" s="126">
        <v>16.600000000000001</v>
      </c>
      <c r="J18" s="125">
        <v>166.8</v>
      </c>
      <c r="K18" s="77">
        <f t="shared" si="5"/>
        <v>82.600000000000009</v>
      </c>
      <c r="L18" s="130">
        <f t="shared" si="6"/>
        <v>0.50479616306954433</v>
      </c>
      <c r="N18" s="97">
        <f ca="1">IF(N3="Calendar Year",YEAR(LARGE(B9:B509,1)),YEAR(LARGE(B9:B509,1))-1)</f>
        <v>2016</v>
      </c>
      <c r="O18" s="101">
        <f t="shared" ca="1" si="1"/>
        <v>927.59999999999991</v>
      </c>
      <c r="P18" s="101">
        <f t="shared" ca="1" si="7"/>
        <v>499.30000000000018</v>
      </c>
      <c r="Q18" s="108">
        <f t="shared" ca="1" si="8"/>
        <v>0.65008059429532539</v>
      </c>
      <c r="R18" s="115">
        <f t="shared" ca="1" si="2"/>
        <v>1426.9</v>
      </c>
      <c r="S18" s="110"/>
      <c r="T18" s="97" t="str">
        <f t="shared" ca="1" si="3"/>
        <v>2015-2016</v>
      </c>
      <c r="U18" s="101">
        <f ca="1">IF($N$3="Calendar Year",SUMIF($B$9:$B$509,LARGE($B$9:$B$509,3),G$9:G$509)+SUMIF($B$9:$B$509,LARGE($B$9:$B$509,4),G$9:G$509)+SUMIF($B$9:$B$509,LARGE($B$9:$B$509,5),G$9:G$509)+SUMIF($B$9:$B$509,LARGE($B$9:$B$509,6),G$9:G$509),SUMIF($B$9:$B$509,LARGE($B$9:$B$509,1),G$9:G$509)+SUMIF($B$9:$B$509,LARGE($B$9:$B$509,2),G$9:G$509)+SUMIF($B$9:$B$509,LARGE($B$9:$B$509,3),G$9:G$509)+SUMIF($B$9:$B$509,LARGE($B$9:$B$509,4),G$9:G$509))</f>
        <v>871</v>
      </c>
      <c r="V18" s="101">
        <f t="shared" ca="1" si="9"/>
        <v>550.09999999999991</v>
      </c>
      <c r="W18" s="108">
        <f t="shared" ca="1" si="10"/>
        <v>0.61290549574273456</v>
      </c>
      <c r="X18" s="116">
        <f ca="1">IF($N$3="Calendar Year",SUMIF($B$9:$B$509,LARGE($B$9:$B$509,3),J$9:J$509)+SUMIF($B$9:$B$509,LARGE($B$9:$B$509,4),J$9:J$509)+SUMIF($B$9:$B$509,LARGE($B$9:$B$509,5),J$9:J$509)+SUMIF($B$9:$B$509,LARGE($B$9:$B$509,6),J$9:J$509),SUMIF($B$9:$B$509,LARGE($B$9:$B$509,1),J$9:J$509)+SUMIF($B$9:$B$509,LARGE($B$9:$B$509,2),J$9:J$509)+SUMIF($B$9:$B$509,LARGE($B$9:$B$509,3),J$9:J$509)+SUMIF($B$9:$B$509,LARGE($B$9:$B$509,4),J$9:J$509))</f>
        <v>1421.1</v>
      </c>
    </row>
    <row r="19" spans="1:24">
      <c r="A19" s="89">
        <f t="shared" si="4"/>
        <v>1991</v>
      </c>
      <c r="B19" s="69">
        <v>33298</v>
      </c>
      <c r="C19" s="123">
        <v>14.2</v>
      </c>
      <c r="D19" s="123">
        <v>2.7</v>
      </c>
      <c r="E19" s="124">
        <v>25.9</v>
      </c>
      <c r="F19" s="123">
        <v>3.6</v>
      </c>
      <c r="G19" s="123">
        <v>68</v>
      </c>
      <c r="H19" s="123">
        <v>3.2</v>
      </c>
      <c r="I19" s="124">
        <v>8.8000000000000007</v>
      </c>
      <c r="J19" s="123">
        <v>126.6</v>
      </c>
      <c r="K19" s="67">
        <f t="shared" si="5"/>
        <v>58.599999999999994</v>
      </c>
      <c r="L19" s="129">
        <f t="shared" si="6"/>
        <v>0.53712480252764616</v>
      </c>
    </row>
    <row r="20" spans="1:24">
      <c r="A20" s="89">
        <f t="shared" si="4"/>
        <v>1991</v>
      </c>
      <c r="B20" s="69">
        <v>33390</v>
      </c>
      <c r="C20" s="125">
        <v>16</v>
      </c>
      <c r="D20" s="125">
        <v>4.5</v>
      </c>
      <c r="E20" s="126">
        <v>29.1</v>
      </c>
      <c r="F20" s="125">
        <v>4.2</v>
      </c>
      <c r="G20" s="125">
        <v>93.8</v>
      </c>
      <c r="H20" s="125">
        <v>1.9</v>
      </c>
      <c r="I20" s="126">
        <v>15</v>
      </c>
      <c r="J20" s="125">
        <v>164.6</v>
      </c>
      <c r="K20" s="77">
        <f t="shared" si="5"/>
        <v>70.8</v>
      </c>
      <c r="L20" s="130">
        <f t="shared" si="6"/>
        <v>0.56986634264884573</v>
      </c>
    </row>
    <row r="21" spans="1:24">
      <c r="A21" s="89">
        <f t="shared" si="4"/>
        <v>1991</v>
      </c>
      <c r="B21" s="69">
        <v>33482</v>
      </c>
      <c r="C21" s="123">
        <v>14.1</v>
      </c>
      <c r="D21" s="123">
        <v>2.7</v>
      </c>
      <c r="E21" s="124">
        <v>26.7</v>
      </c>
      <c r="F21" s="123">
        <v>4.8</v>
      </c>
      <c r="G21" s="123">
        <v>87.9</v>
      </c>
      <c r="H21" s="123">
        <v>2.6</v>
      </c>
      <c r="I21" s="124">
        <v>14.5</v>
      </c>
      <c r="J21" s="123">
        <v>153.4</v>
      </c>
      <c r="K21" s="67">
        <f t="shared" si="5"/>
        <v>65.5</v>
      </c>
      <c r="L21" s="129">
        <f t="shared" si="6"/>
        <v>0.57301173402868322</v>
      </c>
    </row>
    <row r="22" spans="1:24">
      <c r="A22" s="89">
        <f t="shared" si="4"/>
        <v>1991</v>
      </c>
      <c r="B22" s="69">
        <v>33573</v>
      </c>
      <c r="C22" s="125">
        <v>17.8</v>
      </c>
      <c r="D22" s="125">
        <v>2.5</v>
      </c>
      <c r="E22" s="126">
        <v>31.5</v>
      </c>
      <c r="F22" s="125">
        <v>6.6</v>
      </c>
      <c r="G22" s="125">
        <v>88.1</v>
      </c>
      <c r="H22" s="125">
        <v>1.9</v>
      </c>
      <c r="I22" s="126">
        <v>15.7</v>
      </c>
      <c r="J22" s="125">
        <v>164.2</v>
      </c>
      <c r="K22" s="77">
        <f t="shared" si="5"/>
        <v>76.099999999999994</v>
      </c>
      <c r="L22" s="130">
        <f t="shared" si="6"/>
        <v>0.53654080389768577</v>
      </c>
    </row>
    <row r="23" spans="1:24">
      <c r="A23" s="89">
        <f t="shared" si="4"/>
        <v>1992</v>
      </c>
      <c r="B23" s="69">
        <v>33664</v>
      </c>
      <c r="C23" s="123">
        <v>15.5</v>
      </c>
      <c r="D23" s="123">
        <v>3.7</v>
      </c>
      <c r="E23" s="124">
        <v>20.8</v>
      </c>
      <c r="F23" s="123">
        <v>3.3</v>
      </c>
      <c r="G23" s="123">
        <v>69.3</v>
      </c>
      <c r="H23" s="123">
        <v>1.9</v>
      </c>
      <c r="I23" s="124">
        <v>10.8</v>
      </c>
      <c r="J23" s="123">
        <v>125.3</v>
      </c>
      <c r="K23" s="67">
        <f t="shared" si="5"/>
        <v>56</v>
      </c>
      <c r="L23" s="129">
        <f t="shared" si="6"/>
        <v>0.55307262569832405</v>
      </c>
    </row>
    <row r="24" spans="1:24">
      <c r="A24" s="89">
        <f t="shared" si="4"/>
        <v>1992</v>
      </c>
      <c r="B24" s="69">
        <v>33756</v>
      </c>
      <c r="C24" s="125">
        <v>15.9</v>
      </c>
      <c r="D24" s="125">
        <v>3.7</v>
      </c>
      <c r="E24" s="126">
        <v>31</v>
      </c>
      <c r="F24" s="125">
        <v>4.9000000000000004</v>
      </c>
      <c r="G24" s="125">
        <v>87.4</v>
      </c>
      <c r="H24" s="125">
        <v>1.4</v>
      </c>
      <c r="I24" s="126">
        <v>16.7</v>
      </c>
      <c r="J24" s="125">
        <v>161</v>
      </c>
      <c r="K24" s="77">
        <f t="shared" si="5"/>
        <v>73.599999999999994</v>
      </c>
      <c r="L24" s="130">
        <f t="shared" si="6"/>
        <v>0.54285714285714293</v>
      </c>
    </row>
    <row r="25" spans="1:24">
      <c r="A25" s="89">
        <f t="shared" si="4"/>
        <v>1992</v>
      </c>
      <c r="B25" s="69">
        <v>33848</v>
      </c>
      <c r="C25" s="123">
        <v>15.4</v>
      </c>
      <c r="D25" s="123">
        <v>3</v>
      </c>
      <c r="E25" s="124">
        <v>33</v>
      </c>
      <c r="F25" s="123">
        <v>5.5</v>
      </c>
      <c r="G25" s="123">
        <v>86.5</v>
      </c>
      <c r="H25" s="123">
        <v>1.1000000000000001</v>
      </c>
      <c r="I25" s="124">
        <v>16.399999999999999</v>
      </c>
      <c r="J25" s="123">
        <v>160.9</v>
      </c>
      <c r="K25" s="67">
        <f t="shared" si="5"/>
        <v>74.400000000000006</v>
      </c>
      <c r="L25" s="129">
        <f t="shared" si="6"/>
        <v>0.53760099440646358</v>
      </c>
    </row>
    <row r="26" spans="1:24">
      <c r="A26" s="89">
        <f t="shared" si="4"/>
        <v>1992</v>
      </c>
      <c r="B26" s="69">
        <v>33939</v>
      </c>
      <c r="C26" s="125">
        <v>20.3</v>
      </c>
      <c r="D26" s="125">
        <v>3.4</v>
      </c>
      <c r="E26" s="126">
        <v>34.5</v>
      </c>
      <c r="F26" s="125">
        <v>5.9</v>
      </c>
      <c r="G26" s="125">
        <v>91.6</v>
      </c>
      <c r="H26" s="125">
        <v>1.7</v>
      </c>
      <c r="I26" s="126">
        <v>17.2</v>
      </c>
      <c r="J26" s="125">
        <v>174.6</v>
      </c>
      <c r="K26" s="77">
        <f t="shared" si="5"/>
        <v>83</v>
      </c>
      <c r="L26" s="130">
        <f t="shared" si="6"/>
        <v>0.52462772050400919</v>
      </c>
    </row>
    <row r="27" spans="1:24">
      <c r="A27" s="89">
        <f t="shared" si="4"/>
        <v>1993</v>
      </c>
      <c r="B27" s="69">
        <v>34029</v>
      </c>
      <c r="C27" s="123">
        <v>9.1</v>
      </c>
      <c r="D27" s="123">
        <v>2.8</v>
      </c>
      <c r="E27" s="124">
        <v>20.2</v>
      </c>
      <c r="F27" s="123">
        <v>3.8</v>
      </c>
      <c r="G27" s="123">
        <v>74.2</v>
      </c>
      <c r="H27" s="123">
        <v>2.2000000000000002</v>
      </c>
      <c r="I27" s="124">
        <v>10.6</v>
      </c>
      <c r="J27" s="123">
        <v>123</v>
      </c>
      <c r="K27" s="67">
        <f t="shared" si="5"/>
        <v>48.8</v>
      </c>
      <c r="L27" s="129">
        <f t="shared" si="6"/>
        <v>0.60325203252032522</v>
      </c>
    </row>
    <row r="28" spans="1:24">
      <c r="A28" s="89">
        <f t="shared" si="4"/>
        <v>1993</v>
      </c>
      <c r="B28" s="69">
        <v>34121</v>
      </c>
      <c r="C28" s="125">
        <v>16.100000000000001</v>
      </c>
      <c r="D28" s="125">
        <v>3</v>
      </c>
      <c r="E28" s="126">
        <v>30.2</v>
      </c>
      <c r="F28" s="125">
        <v>6.1</v>
      </c>
      <c r="G28" s="125">
        <v>95.8</v>
      </c>
      <c r="H28" s="125">
        <v>2.8</v>
      </c>
      <c r="I28" s="126">
        <v>19.3</v>
      </c>
      <c r="J28" s="125">
        <v>173.3</v>
      </c>
      <c r="K28" s="77">
        <f t="shared" si="5"/>
        <v>77.500000000000014</v>
      </c>
      <c r="L28" s="130">
        <f t="shared" si="6"/>
        <v>0.55279861511829198</v>
      </c>
      <c r="O28" s="89"/>
    </row>
    <row r="29" spans="1:24">
      <c r="A29" s="89">
        <f t="shared" si="4"/>
        <v>1993</v>
      </c>
      <c r="B29" s="69">
        <v>34213</v>
      </c>
      <c r="C29" s="123">
        <v>14.4</v>
      </c>
      <c r="D29" s="123">
        <v>3.5</v>
      </c>
      <c r="E29" s="124">
        <v>33.1</v>
      </c>
      <c r="F29" s="123">
        <v>5.6</v>
      </c>
      <c r="G29" s="123">
        <v>110.4</v>
      </c>
      <c r="H29" s="123">
        <v>1.7</v>
      </c>
      <c r="I29" s="124">
        <v>18.899999999999999</v>
      </c>
      <c r="J29" s="123">
        <v>187.5</v>
      </c>
      <c r="K29" s="67">
        <f t="shared" si="5"/>
        <v>77.099999999999994</v>
      </c>
      <c r="L29" s="129">
        <f t="shared" si="6"/>
        <v>0.58879999999999999</v>
      </c>
    </row>
    <row r="30" spans="1:24">
      <c r="A30" s="89">
        <f t="shared" si="4"/>
        <v>1993</v>
      </c>
      <c r="B30" s="69">
        <v>34304</v>
      </c>
      <c r="C30" s="125">
        <v>18.399999999999999</v>
      </c>
      <c r="D30" s="125">
        <v>4.5999999999999996</v>
      </c>
      <c r="E30" s="126">
        <v>39.6</v>
      </c>
      <c r="F30" s="125">
        <v>6.4</v>
      </c>
      <c r="G30" s="125">
        <v>119</v>
      </c>
      <c r="H30" s="125">
        <v>2</v>
      </c>
      <c r="I30" s="126">
        <v>18.899999999999999</v>
      </c>
      <c r="J30" s="125">
        <v>208.9</v>
      </c>
      <c r="K30" s="77">
        <f t="shared" si="5"/>
        <v>89.9</v>
      </c>
      <c r="L30" s="130">
        <f t="shared" si="6"/>
        <v>0.5696505505026328</v>
      </c>
    </row>
    <row r="31" spans="1:24">
      <c r="A31" s="89">
        <f t="shared" si="4"/>
        <v>1994</v>
      </c>
      <c r="B31" s="69">
        <v>34394</v>
      </c>
      <c r="C31" s="123">
        <v>15.8</v>
      </c>
      <c r="D31" s="123">
        <v>6.3</v>
      </c>
      <c r="E31" s="124">
        <v>30.2</v>
      </c>
      <c r="F31" s="123">
        <v>6.9</v>
      </c>
      <c r="G31" s="123">
        <v>100.9</v>
      </c>
      <c r="H31" s="123">
        <v>3.4</v>
      </c>
      <c r="I31" s="124">
        <v>12.1</v>
      </c>
      <c r="J31" s="123">
        <v>175.6</v>
      </c>
      <c r="K31" s="67">
        <f t="shared" si="5"/>
        <v>74.699999999999989</v>
      </c>
      <c r="L31" s="129">
        <f t="shared" si="6"/>
        <v>0.57460136674259688</v>
      </c>
    </row>
    <row r="32" spans="1:24">
      <c r="A32" s="89">
        <f t="shared" si="4"/>
        <v>1994</v>
      </c>
      <c r="B32" s="69">
        <v>34486</v>
      </c>
      <c r="C32" s="125">
        <v>25</v>
      </c>
      <c r="D32" s="125">
        <v>6.3</v>
      </c>
      <c r="E32" s="126">
        <v>37</v>
      </c>
      <c r="F32" s="125">
        <v>5.8</v>
      </c>
      <c r="G32" s="125">
        <v>123.4</v>
      </c>
      <c r="H32" s="125">
        <v>3.1</v>
      </c>
      <c r="I32" s="126">
        <v>19.899999999999999</v>
      </c>
      <c r="J32" s="125">
        <v>220.6</v>
      </c>
      <c r="K32" s="77">
        <f t="shared" si="5"/>
        <v>97.199999999999989</v>
      </c>
      <c r="L32" s="130">
        <f t="shared" si="6"/>
        <v>0.55938349954669087</v>
      </c>
    </row>
    <row r="33" spans="1:12">
      <c r="A33" s="89">
        <f t="shared" si="4"/>
        <v>1994</v>
      </c>
      <c r="B33" s="69">
        <v>34578</v>
      </c>
      <c r="C33" s="123">
        <v>18.399999999999999</v>
      </c>
      <c r="D33" s="123">
        <v>6.7</v>
      </c>
      <c r="E33" s="124">
        <v>45</v>
      </c>
      <c r="F33" s="123">
        <v>4.5999999999999996</v>
      </c>
      <c r="G33" s="123">
        <v>127.5</v>
      </c>
      <c r="H33" s="123">
        <v>2.8</v>
      </c>
      <c r="I33" s="124">
        <v>21.1</v>
      </c>
      <c r="J33" s="123">
        <v>226.1</v>
      </c>
      <c r="K33" s="67">
        <f t="shared" si="5"/>
        <v>98.6</v>
      </c>
      <c r="L33" s="129">
        <f t="shared" si="6"/>
        <v>0.56390977443609025</v>
      </c>
    </row>
    <row r="34" spans="1:12">
      <c r="A34" s="89">
        <f t="shared" si="4"/>
        <v>1994</v>
      </c>
      <c r="B34" s="69">
        <v>34669</v>
      </c>
      <c r="C34" s="125">
        <v>18.3</v>
      </c>
      <c r="D34" s="125">
        <v>6.5</v>
      </c>
      <c r="E34" s="126">
        <v>53.7</v>
      </c>
      <c r="F34" s="125">
        <v>5.0999999999999996</v>
      </c>
      <c r="G34" s="125">
        <v>126.4</v>
      </c>
      <c r="H34" s="125">
        <v>2.9</v>
      </c>
      <c r="I34" s="126">
        <v>19.3</v>
      </c>
      <c r="J34" s="125">
        <v>232.2</v>
      </c>
      <c r="K34" s="77">
        <f t="shared" si="5"/>
        <v>105.79999999999998</v>
      </c>
      <c r="L34" s="130">
        <f t="shared" si="6"/>
        <v>0.54435831180017236</v>
      </c>
    </row>
    <row r="35" spans="1:12">
      <c r="A35" s="89">
        <f t="shared" si="4"/>
        <v>1995</v>
      </c>
      <c r="B35" s="69">
        <v>34759</v>
      </c>
      <c r="C35" s="123">
        <v>19.7</v>
      </c>
      <c r="D35" s="123">
        <v>9.3000000000000007</v>
      </c>
      <c r="E35" s="124">
        <v>32.4</v>
      </c>
      <c r="F35" s="123">
        <v>4.5999999999999996</v>
      </c>
      <c r="G35" s="123">
        <v>106.3</v>
      </c>
      <c r="H35" s="123">
        <v>4</v>
      </c>
      <c r="I35" s="124">
        <v>14.1</v>
      </c>
      <c r="J35" s="123">
        <v>190.3</v>
      </c>
      <c r="K35" s="67">
        <f t="shared" si="5"/>
        <v>84.000000000000014</v>
      </c>
      <c r="L35" s="129">
        <f t="shared" si="6"/>
        <v>0.55859169732002101</v>
      </c>
    </row>
    <row r="36" spans="1:12">
      <c r="A36" s="89">
        <f t="shared" si="4"/>
        <v>1995</v>
      </c>
      <c r="B36" s="69">
        <v>34851</v>
      </c>
      <c r="C36" s="125">
        <v>22.7</v>
      </c>
      <c r="D36" s="125">
        <v>8.6999999999999993</v>
      </c>
      <c r="E36" s="126">
        <v>44.9</v>
      </c>
      <c r="F36" s="125">
        <v>6.6</v>
      </c>
      <c r="G36" s="125">
        <v>135.30000000000001</v>
      </c>
      <c r="H36" s="125">
        <v>5.2</v>
      </c>
      <c r="I36" s="126">
        <v>21.3</v>
      </c>
      <c r="J36" s="125">
        <v>244.6</v>
      </c>
      <c r="K36" s="77">
        <f t="shared" si="5"/>
        <v>109.29999999999998</v>
      </c>
      <c r="L36" s="130">
        <f t="shared" si="6"/>
        <v>0.55314799672935411</v>
      </c>
    </row>
    <row r="37" spans="1:12">
      <c r="A37" s="89">
        <f t="shared" si="4"/>
        <v>1995</v>
      </c>
      <c r="B37" s="69">
        <v>34943</v>
      </c>
      <c r="C37" s="123">
        <v>20.5</v>
      </c>
      <c r="D37" s="123">
        <v>8.1999999999999993</v>
      </c>
      <c r="E37" s="124">
        <v>43.8</v>
      </c>
      <c r="F37" s="123">
        <v>5.6</v>
      </c>
      <c r="G37" s="123">
        <v>125</v>
      </c>
      <c r="H37" s="123">
        <v>2.5</v>
      </c>
      <c r="I37" s="124">
        <v>21.6</v>
      </c>
      <c r="J37" s="123">
        <v>227.1</v>
      </c>
      <c r="K37" s="67">
        <f t="shared" si="5"/>
        <v>102.1</v>
      </c>
      <c r="L37" s="129">
        <f t="shared" si="6"/>
        <v>0.55041831792162044</v>
      </c>
    </row>
    <row r="38" spans="1:12">
      <c r="A38" s="89">
        <f t="shared" si="4"/>
        <v>1995</v>
      </c>
      <c r="B38" s="69">
        <v>35034</v>
      </c>
      <c r="C38" s="125">
        <v>17.7</v>
      </c>
      <c r="D38" s="125">
        <v>11.5</v>
      </c>
      <c r="E38" s="126">
        <v>39.4</v>
      </c>
      <c r="F38" s="125">
        <v>6.6</v>
      </c>
      <c r="G38" s="125">
        <v>128.9</v>
      </c>
      <c r="H38" s="125">
        <v>5.6</v>
      </c>
      <c r="I38" s="126">
        <v>19.5</v>
      </c>
      <c r="J38" s="125">
        <v>229.3</v>
      </c>
      <c r="K38" s="77">
        <f t="shared" si="5"/>
        <v>100.4</v>
      </c>
      <c r="L38" s="130">
        <f t="shared" si="6"/>
        <v>0.56214566070649807</v>
      </c>
    </row>
    <row r="39" spans="1:12">
      <c r="A39" s="89">
        <f t="shared" si="4"/>
        <v>1996</v>
      </c>
      <c r="B39" s="69">
        <v>35125</v>
      </c>
      <c r="C39" s="123">
        <v>19.2</v>
      </c>
      <c r="D39" s="123">
        <v>10.1</v>
      </c>
      <c r="E39" s="124">
        <v>40.9</v>
      </c>
      <c r="F39" s="123">
        <v>5.0999999999999996</v>
      </c>
      <c r="G39" s="123">
        <v>118.6</v>
      </c>
      <c r="H39" s="123">
        <v>6</v>
      </c>
      <c r="I39" s="124">
        <v>19</v>
      </c>
      <c r="J39" s="123">
        <v>219</v>
      </c>
      <c r="K39" s="67">
        <f t="shared" si="5"/>
        <v>100.4</v>
      </c>
      <c r="L39" s="129">
        <f t="shared" si="6"/>
        <v>0.54155251141552507</v>
      </c>
    </row>
    <row r="40" spans="1:12">
      <c r="A40" s="89">
        <f t="shared" si="4"/>
        <v>1996</v>
      </c>
      <c r="B40" s="69">
        <v>35217</v>
      </c>
      <c r="C40" s="125">
        <v>23</v>
      </c>
      <c r="D40" s="125">
        <v>12.8</v>
      </c>
      <c r="E40" s="126">
        <v>56.9</v>
      </c>
      <c r="F40" s="125">
        <v>6.8</v>
      </c>
      <c r="G40" s="125">
        <v>147</v>
      </c>
      <c r="H40" s="125">
        <v>4.7</v>
      </c>
      <c r="I40" s="126">
        <v>33.700000000000003</v>
      </c>
      <c r="J40" s="125">
        <v>284.89999999999998</v>
      </c>
      <c r="K40" s="77">
        <f t="shared" si="5"/>
        <v>137.89999999999998</v>
      </c>
      <c r="L40" s="130">
        <f t="shared" si="6"/>
        <v>0.51597051597051602</v>
      </c>
    </row>
    <row r="41" spans="1:12">
      <c r="A41" s="89">
        <f t="shared" si="4"/>
        <v>1996</v>
      </c>
      <c r="B41" s="69">
        <v>35309</v>
      </c>
      <c r="C41" s="123">
        <v>21.1</v>
      </c>
      <c r="D41" s="123">
        <v>14.9</v>
      </c>
      <c r="E41" s="124">
        <v>38.299999999999997</v>
      </c>
      <c r="F41" s="123">
        <v>5.4</v>
      </c>
      <c r="G41" s="123">
        <v>162.80000000000001</v>
      </c>
      <c r="H41" s="123">
        <v>4.2</v>
      </c>
      <c r="I41" s="124">
        <v>27.5</v>
      </c>
      <c r="J41" s="123">
        <v>274.2</v>
      </c>
      <c r="K41" s="67">
        <f t="shared" si="5"/>
        <v>111.39999999999998</v>
      </c>
      <c r="L41" s="129">
        <f t="shared" si="6"/>
        <v>0.5937272064186726</v>
      </c>
    </row>
    <row r="42" spans="1:12">
      <c r="A42" s="89">
        <f t="shared" si="4"/>
        <v>1996</v>
      </c>
      <c r="B42" s="69">
        <v>35400</v>
      </c>
      <c r="C42" s="125">
        <v>20.6</v>
      </c>
      <c r="D42" s="125">
        <v>14.1</v>
      </c>
      <c r="E42" s="126">
        <v>45.1</v>
      </c>
      <c r="F42" s="125">
        <v>8</v>
      </c>
      <c r="G42" s="125">
        <v>173.1</v>
      </c>
      <c r="H42" s="125">
        <v>5.7</v>
      </c>
      <c r="I42" s="126">
        <v>25</v>
      </c>
      <c r="J42" s="125">
        <v>291.60000000000002</v>
      </c>
      <c r="K42" s="77">
        <f t="shared" si="5"/>
        <v>118.50000000000003</v>
      </c>
      <c r="L42" s="130">
        <f t="shared" si="6"/>
        <v>0.59362139917695467</v>
      </c>
    </row>
    <row r="43" spans="1:12">
      <c r="A43" s="89">
        <f t="shared" si="4"/>
        <v>1997</v>
      </c>
      <c r="B43" s="69">
        <v>35490</v>
      </c>
      <c r="C43" s="123">
        <v>22</v>
      </c>
      <c r="D43" s="123">
        <v>9.6</v>
      </c>
      <c r="E43" s="124">
        <v>31.6</v>
      </c>
      <c r="F43" s="123">
        <v>7.2</v>
      </c>
      <c r="G43" s="123">
        <v>144.19999999999999</v>
      </c>
      <c r="H43" s="123">
        <v>6</v>
      </c>
      <c r="I43" s="124">
        <v>14.8</v>
      </c>
      <c r="J43" s="123">
        <v>235.6</v>
      </c>
      <c r="K43" s="67">
        <f t="shared" si="5"/>
        <v>91.4</v>
      </c>
      <c r="L43" s="129">
        <f t="shared" si="6"/>
        <v>0.61205432937181659</v>
      </c>
    </row>
    <row r="44" spans="1:12">
      <c r="A44" s="89">
        <f t="shared" si="4"/>
        <v>1997</v>
      </c>
      <c r="B44" s="69">
        <v>35582</v>
      </c>
      <c r="C44" s="125">
        <v>30.4</v>
      </c>
      <c r="D44" s="125">
        <v>13.2</v>
      </c>
      <c r="E44" s="126">
        <v>45.7</v>
      </c>
      <c r="F44" s="125">
        <v>14.5</v>
      </c>
      <c r="G44" s="125">
        <v>211.6</v>
      </c>
      <c r="H44" s="125">
        <v>10.1</v>
      </c>
      <c r="I44" s="126">
        <v>21.6</v>
      </c>
      <c r="J44" s="125">
        <v>347.2</v>
      </c>
      <c r="K44" s="77">
        <f t="shared" si="5"/>
        <v>135.6</v>
      </c>
      <c r="L44" s="130">
        <f t="shared" si="6"/>
        <v>0.60944700460829493</v>
      </c>
    </row>
    <row r="45" spans="1:12">
      <c r="A45" s="89">
        <f t="shared" si="4"/>
        <v>1997</v>
      </c>
      <c r="B45" s="69">
        <v>35674</v>
      </c>
      <c r="C45" s="123">
        <v>23.3</v>
      </c>
      <c r="D45" s="123">
        <v>9.5</v>
      </c>
      <c r="E45" s="124">
        <v>41.9</v>
      </c>
      <c r="F45" s="123">
        <v>12.5</v>
      </c>
      <c r="G45" s="123">
        <v>182.7</v>
      </c>
      <c r="H45" s="123">
        <v>9.6999999999999993</v>
      </c>
      <c r="I45" s="124">
        <v>22.1</v>
      </c>
      <c r="J45" s="123">
        <v>301.8</v>
      </c>
      <c r="K45" s="67">
        <f t="shared" si="5"/>
        <v>119.10000000000002</v>
      </c>
      <c r="L45" s="129">
        <f t="shared" si="6"/>
        <v>0.60536779324055656</v>
      </c>
    </row>
    <row r="46" spans="1:12">
      <c r="A46" s="89">
        <f t="shared" si="4"/>
        <v>1997</v>
      </c>
      <c r="B46" s="69">
        <v>35765</v>
      </c>
      <c r="C46" s="125">
        <v>26.1</v>
      </c>
      <c r="D46" s="125">
        <v>13.4</v>
      </c>
      <c r="E46" s="126">
        <v>41.7</v>
      </c>
      <c r="F46" s="125">
        <v>11.4</v>
      </c>
      <c r="G46" s="125">
        <v>162.30000000000001</v>
      </c>
      <c r="H46" s="125">
        <v>3.8</v>
      </c>
      <c r="I46" s="126">
        <v>23.4</v>
      </c>
      <c r="J46" s="125">
        <v>282</v>
      </c>
      <c r="K46" s="77">
        <f t="shared" si="5"/>
        <v>119.69999999999999</v>
      </c>
      <c r="L46" s="130">
        <f t="shared" si="6"/>
        <v>0.5755319148936171</v>
      </c>
    </row>
    <row r="47" spans="1:12">
      <c r="A47" s="89">
        <f t="shared" si="4"/>
        <v>1998</v>
      </c>
      <c r="B47" s="69">
        <v>35855</v>
      </c>
      <c r="C47" s="123">
        <v>20.8</v>
      </c>
      <c r="D47" s="123">
        <v>10.6</v>
      </c>
      <c r="E47" s="124">
        <v>21.5</v>
      </c>
      <c r="F47" s="123">
        <v>9.1999999999999993</v>
      </c>
      <c r="G47" s="123">
        <v>142</v>
      </c>
      <c r="H47" s="123">
        <v>3.7</v>
      </c>
      <c r="I47" s="124">
        <v>12.6</v>
      </c>
      <c r="J47" s="123">
        <v>220.4</v>
      </c>
      <c r="K47" s="67">
        <f t="shared" si="5"/>
        <v>78.400000000000006</v>
      </c>
      <c r="L47" s="129">
        <f t="shared" si="6"/>
        <v>0.64428312159709622</v>
      </c>
    </row>
    <row r="48" spans="1:12">
      <c r="A48" s="89">
        <f t="shared" si="4"/>
        <v>1998</v>
      </c>
      <c r="B48" s="69">
        <v>35947</v>
      </c>
      <c r="C48" s="125">
        <v>18</v>
      </c>
      <c r="D48" s="125">
        <v>9.6</v>
      </c>
      <c r="E48" s="126">
        <v>28.2</v>
      </c>
      <c r="F48" s="125">
        <v>12</v>
      </c>
      <c r="G48" s="125">
        <v>173.4</v>
      </c>
      <c r="H48" s="125">
        <v>3.5</v>
      </c>
      <c r="I48" s="126">
        <v>17.8</v>
      </c>
      <c r="J48" s="125">
        <v>262.60000000000002</v>
      </c>
      <c r="K48" s="77">
        <f t="shared" si="5"/>
        <v>89.200000000000017</v>
      </c>
      <c r="L48" s="130">
        <f t="shared" si="6"/>
        <v>0.66031987814166027</v>
      </c>
    </row>
    <row r="49" spans="1:12">
      <c r="A49" s="89">
        <f t="shared" si="4"/>
        <v>1998</v>
      </c>
      <c r="B49" s="69">
        <v>36039</v>
      </c>
      <c r="C49" s="123">
        <v>14.2</v>
      </c>
      <c r="D49" s="123">
        <v>9</v>
      </c>
      <c r="E49" s="124">
        <v>22.2</v>
      </c>
      <c r="F49" s="123">
        <v>12.6</v>
      </c>
      <c r="G49" s="123">
        <v>154.1</v>
      </c>
      <c r="H49" s="123">
        <v>2.4</v>
      </c>
      <c r="I49" s="124">
        <v>21.2</v>
      </c>
      <c r="J49" s="123">
        <v>235.9</v>
      </c>
      <c r="K49" s="67">
        <f t="shared" si="5"/>
        <v>81.800000000000011</v>
      </c>
      <c r="L49" s="129">
        <f t="shared" si="6"/>
        <v>0.65324289953370063</v>
      </c>
    </row>
    <row r="50" spans="1:12">
      <c r="A50" s="89">
        <f t="shared" si="4"/>
        <v>1998</v>
      </c>
      <c r="B50" s="69">
        <v>36130</v>
      </c>
      <c r="C50" s="125">
        <v>18.399999999999999</v>
      </c>
      <c r="D50" s="125">
        <v>11</v>
      </c>
      <c r="E50" s="126">
        <v>25</v>
      </c>
      <c r="F50" s="125">
        <v>8.9</v>
      </c>
      <c r="G50" s="125">
        <v>157.30000000000001</v>
      </c>
      <c r="H50" s="125">
        <v>3</v>
      </c>
      <c r="I50" s="126">
        <v>16</v>
      </c>
      <c r="J50" s="125">
        <v>239.6</v>
      </c>
      <c r="K50" s="77">
        <f t="shared" si="5"/>
        <v>82.299999999999983</v>
      </c>
      <c r="L50" s="130">
        <f t="shared" si="6"/>
        <v>0.65651085141903176</v>
      </c>
    </row>
    <row r="51" spans="1:12">
      <c r="A51" s="89">
        <f t="shared" si="4"/>
        <v>1999</v>
      </c>
      <c r="B51" s="69">
        <v>36220</v>
      </c>
      <c r="C51" s="123">
        <v>15.6</v>
      </c>
      <c r="D51" s="123">
        <v>10.3</v>
      </c>
      <c r="E51" s="124">
        <v>20.2</v>
      </c>
      <c r="F51" s="123">
        <v>7.6</v>
      </c>
      <c r="G51" s="123">
        <v>102.3</v>
      </c>
      <c r="H51" s="123">
        <v>3.8</v>
      </c>
      <c r="I51" s="124">
        <v>7.6</v>
      </c>
      <c r="J51" s="123">
        <v>167.3</v>
      </c>
      <c r="K51" s="67">
        <f t="shared" si="5"/>
        <v>65.000000000000014</v>
      </c>
      <c r="L51" s="129">
        <f t="shared" si="6"/>
        <v>0.61147638971906748</v>
      </c>
    </row>
    <row r="52" spans="1:12">
      <c r="A52" s="89">
        <f t="shared" si="4"/>
        <v>1999</v>
      </c>
      <c r="B52" s="69">
        <v>36312</v>
      </c>
      <c r="C52" s="125">
        <v>17.399999999999999</v>
      </c>
      <c r="D52" s="125">
        <v>6.7</v>
      </c>
      <c r="E52" s="126">
        <v>26.4</v>
      </c>
      <c r="F52" s="125">
        <v>12.8</v>
      </c>
      <c r="G52" s="125">
        <v>109.4</v>
      </c>
      <c r="H52" s="125">
        <v>2.6</v>
      </c>
      <c r="I52" s="126">
        <v>19.600000000000001</v>
      </c>
      <c r="J52" s="125">
        <v>195</v>
      </c>
      <c r="K52" s="77">
        <f t="shared" si="5"/>
        <v>85.6</v>
      </c>
      <c r="L52" s="130">
        <f t="shared" si="6"/>
        <v>0.56102564102564101</v>
      </c>
    </row>
    <row r="53" spans="1:12">
      <c r="A53" s="89">
        <f t="shared" si="4"/>
        <v>1999</v>
      </c>
      <c r="B53" s="69">
        <v>36404</v>
      </c>
      <c r="C53" s="123">
        <v>14.6</v>
      </c>
      <c r="D53" s="123">
        <v>8.1999999999999993</v>
      </c>
      <c r="E53" s="124">
        <v>21</v>
      </c>
      <c r="F53" s="123">
        <v>6.5</v>
      </c>
      <c r="G53" s="123">
        <v>107.9</v>
      </c>
      <c r="H53" s="123">
        <v>2.7</v>
      </c>
      <c r="I53" s="124">
        <v>19.2</v>
      </c>
      <c r="J53" s="123">
        <v>180.1</v>
      </c>
      <c r="K53" s="67">
        <f t="shared" si="5"/>
        <v>72.199999999999989</v>
      </c>
      <c r="L53" s="129">
        <f t="shared" si="6"/>
        <v>0.59911160466407554</v>
      </c>
    </row>
    <row r="54" spans="1:12">
      <c r="A54" s="89">
        <f t="shared" si="4"/>
        <v>1999</v>
      </c>
      <c r="B54" s="69">
        <v>36495</v>
      </c>
      <c r="C54" s="125">
        <v>14.8</v>
      </c>
      <c r="D54" s="125">
        <v>8.1</v>
      </c>
      <c r="E54" s="126">
        <v>21.3</v>
      </c>
      <c r="F54" s="125">
        <v>6.7</v>
      </c>
      <c r="G54" s="125">
        <v>108.8</v>
      </c>
      <c r="H54" s="125">
        <v>2.2999999999999998</v>
      </c>
      <c r="I54" s="126">
        <v>14.8</v>
      </c>
      <c r="J54" s="125">
        <v>176.9</v>
      </c>
      <c r="K54" s="77">
        <f t="shared" si="5"/>
        <v>68.100000000000009</v>
      </c>
      <c r="L54" s="130">
        <f t="shared" si="6"/>
        <v>0.61503674392312035</v>
      </c>
    </row>
    <row r="55" spans="1:12">
      <c r="A55" s="89">
        <f t="shared" si="4"/>
        <v>2000</v>
      </c>
      <c r="B55" s="69">
        <v>36586</v>
      </c>
      <c r="C55" s="123">
        <v>12.1</v>
      </c>
      <c r="D55" s="123">
        <v>7.5</v>
      </c>
      <c r="E55" s="124">
        <v>17.100000000000001</v>
      </c>
      <c r="F55" s="123">
        <v>3.8</v>
      </c>
      <c r="G55" s="123">
        <v>85</v>
      </c>
      <c r="H55" s="123">
        <v>2.4</v>
      </c>
      <c r="I55" s="124">
        <v>8.8000000000000007</v>
      </c>
      <c r="J55" s="123">
        <v>136.69999999999999</v>
      </c>
      <c r="K55" s="67">
        <f t="shared" si="5"/>
        <v>51.699999999999989</v>
      </c>
      <c r="L55" s="129">
        <f t="shared" si="6"/>
        <v>0.62179956108266277</v>
      </c>
    </row>
    <row r="56" spans="1:12">
      <c r="A56" s="89">
        <f t="shared" si="4"/>
        <v>2000</v>
      </c>
      <c r="B56" s="69">
        <v>36678</v>
      </c>
      <c r="C56" s="125">
        <v>14.6</v>
      </c>
      <c r="D56" s="125">
        <v>10</v>
      </c>
      <c r="E56" s="126">
        <v>23.1</v>
      </c>
      <c r="F56" s="125">
        <v>5.6</v>
      </c>
      <c r="G56" s="125">
        <v>113.3</v>
      </c>
      <c r="H56" s="125">
        <v>1.3</v>
      </c>
      <c r="I56" s="126">
        <v>14.7</v>
      </c>
      <c r="J56" s="125">
        <v>182.7</v>
      </c>
      <c r="K56" s="77">
        <f t="shared" si="5"/>
        <v>69.399999999999991</v>
      </c>
      <c r="L56" s="130">
        <f t="shared" si="6"/>
        <v>0.62014230979748219</v>
      </c>
    </row>
    <row r="57" spans="1:12">
      <c r="A57" s="89">
        <f t="shared" si="4"/>
        <v>2000</v>
      </c>
      <c r="B57" s="69">
        <v>36770</v>
      </c>
      <c r="C57" s="123">
        <v>13.6</v>
      </c>
      <c r="D57" s="123">
        <v>8.6</v>
      </c>
      <c r="E57" s="124">
        <v>21.8</v>
      </c>
      <c r="F57" s="123">
        <v>5.5</v>
      </c>
      <c r="G57" s="123">
        <v>104.4</v>
      </c>
      <c r="H57" s="123">
        <v>1.7</v>
      </c>
      <c r="I57" s="124">
        <v>14.2</v>
      </c>
      <c r="J57" s="123">
        <v>169.8</v>
      </c>
      <c r="K57" s="67">
        <f t="shared" si="5"/>
        <v>65.400000000000006</v>
      </c>
      <c r="L57" s="129">
        <f t="shared" si="6"/>
        <v>0.61484098939929333</v>
      </c>
    </row>
    <row r="58" spans="1:12">
      <c r="A58" s="89">
        <f t="shared" si="4"/>
        <v>2000</v>
      </c>
      <c r="B58" s="69">
        <v>36861</v>
      </c>
      <c r="C58" s="125">
        <v>15.8</v>
      </c>
      <c r="D58" s="125">
        <v>7.3</v>
      </c>
      <c r="E58" s="126">
        <v>21.4</v>
      </c>
      <c r="F58" s="125">
        <v>6.8</v>
      </c>
      <c r="G58" s="125">
        <v>118</v>
      </c>
      <c r="H58" s="125">
        <v>2.6</v>
      </c>
      <c r="I58" s="126">
        <v>15.3</v>
      </c>
      <c r="J58" s="125">
        <v>187.2</v>
      </c>
      <c r="K58" s="77">
        <f t="shared" si="5"/>
        <v>69.199999999999989</v>
      </c>
      <c r="L58" s="130">
        <f t="shared" si="6"/>
        <v>0.63034188034188043</v>
      </c>
    </row>
    <row r="59" spans="1:12">
      <c r="A59" s="89">
        <f t="shared" si="4"/>
        <v>2001</v>
      </c>
      <c r="B59" s="69">
        <v>36951</v>
      </c>
      <c r="C59" s="123">
        <v>12.7</v>
      </c>
      <c r="D59" s="123">
        <v>8.4</v>
      </c>
      <c r="E59" s="124">
        <v>17.100000000000001</v>
      </c>
      <c r="F59" s="123">
        <v>4.9000000000000004</v>
      </c>
      <c r="G59" s="123">
        <v>90.8</v>
      </c>
      <c r="H59" s="123">
        <v>2.5</v>
      </c>
      <c r="I59" s="124">
        <v>7.2</v>
      </c>
      <c r="J59" s="123">
        <v>143.5</v>
      </c>
      <c r="K59" s="67">
        <f t="shared" si="5"/>
        <v>52.7</v>
      </c>
      <c r="L59" s="129">
        <f t="shared" si="6"/>
        <v>0.63275261324041809</v>
      </c>
    </row>
    <row r="60" spans="1:12">
      <c r="A60" s="89">
        <f t="shared" si="4"/>
        <v>2001</v>
      </c>
      <c r="B60" s="69">
        <v>37043</v>
      </c>
      <c r="C60" s="125">
        <v>15.1</v>
      </c>
      <c r="D60" s="125">
        <v>8.4</v>
      </c>
      <c r="E60" s="126">
        <v>22.8</v>
      </c>
      <c r="F60" s="125">
        <v>12.4</v>
      </c>
      <c r="G60" s="125">
        <v>110.9</v>
      </c>
      <c r="H60" s="125">
        <v>2.2999999999999998</v>
      </c>
      <c r="I60" s="126">
        <v>10.9</v>
      </c>
      <c r="J60" s="125">
        <v>182.8</v>
      </c>
      <c r="K60" s="77">
        <f t="shared" si="5"/>
        <v>71.900000000000006</v>
      </c>
      <c r="L60" s="130">
        <f t="shared" si="6"/>
        <v>0.60667396061269141</v>
      </c>
    </row>
    <row r="61" spans="1:12">
      <c r="A61" s="89">
        <f t="shared" si="4"/>
        <v>2001</v>
      </c>
      <c r="B61" s="69">
        <v>37135</v>
      </c>
      <c r="C61" s="123">
        <v>12.5</v>
      </c>
      <c r="D61" s="123">
        <v>7.2</v>
      </c>
      <c r="E61" s="124">
        <v>21.6</v>
      </c>
      <c r="F61" s="123">
        <v>6.9</v>
      </c>
      <c r="G61" s="123">
        <v>103.3</v>
      </c>
      <c r="H61" s="123">
        <v>0.9</v>
      </c>
      <c r="I61" s="124">
        <v>15</v>
      </c>
      <c r="J61" s="123">
        <v>167.4</v>
      </c>
      <c r="K61" s="67">
        <f t="shared" si="5"/>
        <v>64.100000000000009</v>
      </c>
      <c r="L61" s="129">
        <f t="shared" si="6"/>
        <v>0.61708482676224607</v>
      </c>
    </row>
    <row r="62" spans="1:12">
      <c r="A62" s="89">
        <f t="shared" si="4"/>
        <v>2001</v>
      </c>
      <c r="B62" s="69">
        <v>37226</v>
      </c>
      <c r="C62" s="125">
        <v>12.6</v>
      </c>
      <c r="D62" s="125">
        <v>7.1</v>
      </c>
      <c r="E62" s="126">
        <v>25</v>
      </c>
      <c r="F62" s="125">
        <v>8</v>
      </c>
      <c r="G62" s="125">
        <v>103.5</v>
      </c>
      <c r="H62" s="125">
        <v>1.2</v>
      </c>
      <c r="I62" s="126">
        <v>13.3</v>
      </c>
      <c r="J62" s="125">
        <v>170.7</v>
      </c>
      <c r="K62" s="77">
        <f t="shared" si="5"/>
        <v>67.199999999999989</v>
      </c>
      <c r="L62" s="130">
        <f t="shared" si="6"/>
        <v>0.60632688927943768</v>
      </c>
    </row>
    <row r="63" spans="1:12">
      <c r="A63" s="89">
        <f t="shared" si="4"/>
        <v>2002</v>
      </c>
      <c r="B63" s="69">
        <v>37316</v>
      </c>
      <c r="C63" s="123">
        <v>10.5</v>
      </c>
      <c r="D63" s="123">
        <v>8.4</v>
      </c>
      <c r="E63" s="124">
        <v>17.3</v>
      </c>
      <c r="F63" s="123">
        <v>7.3</v>
      </c>
      <c r="G63" s="123">
        <v>82.5</v>
      </c>
      <c r="H63" s="123">
        <v>1</v>
      </c>
      <c r="I63" s="124">
        <v>7.2</v>
      </c>
      <c r="J63" s="123">
        <v>134.19999999999999</v>
      </c>
      <c r="K63" s="67">
        <f t="shared" si="5"/>
        <v>51.699999999999989</v>
      </c>
      <c r="L63" s="129">
        <f t="shared" si="6"/>
        <v>0.61475409836065575</v>
      </c>
    </row>
    <row r="64" spans="1:12">
      <c r="A64" s="89">
        <f t="shared" si="4"/>
        <v>2002</v>
      </c>
      <c r="B64" s="69">
        <v>37408</v>
      </c>
      <c r="C64" s="125">
        <v>12.6</v>
      </c>
      <c r="D64" s="125">
        <v>11.2</v>
      </c>
      <c r="E64" s="126">
        <v>28.7</v>
      </c>
      <c r="F64" s="125">
        <v>9.9</v>
      </c>
      <c r="G64" s="125">
        <v>91.8</v>
      </c>
      <c r="H64" s="125">
        <v>0.9</v>
      </c>
      <c r="I64" s="126">
        <v>13</v>
      </c>
      <c r="J64" s="125">
        <v>168.3</v>
      </c>
      <c r="K64" s="77">
        <f t="shared" si="5"/>
        <v>76.500000000000014</v>
      </c>
      <c r="L64" s="130">
        <f t="shared" si="6"/>
        <v>0.54545454545454541</v>
      </c>
    </row>
    <row r="65" spans="1:12">
      <c r="A65" s="89">
        <f t="shared" si="4"/>
        <v>2002</v>
      </c>
      <c r="B65" s="69">
        <v>37500</v>
      </c>
      <c r="C65" s="123">
        <v>15.4</v>
      </c>
      <c r="D65" s="123">
        <v>10.7</v>
      </c>
      <c r="E65" s="124">
        <v>23.2</v>
      </c>
      <c r="F65" s="123">
        <v>9.6999999999999993</v>
      </c>
      <c r="G65" s="123">
        <v>110.1</v>
      </c>
      <c r="H65" s="123">
        <v>1.1000000000000001</v>
      </c>
      <c r="I65" s="124">
        <v>12.8</v>
      </c>
      <c r="J65" s="123">
        <v>182.9</v>
      </c>
      <c r="K65" s="67">
        <f t="shared" si="5"/>
        <v>72.800000000000011</v>
      </c>
      <c r="L65" s="129">
        <f t="shared" si="6"/>
        <v>0.60196828868233998</v>
      </c>
    </row>
    <row r="66" spans="1:12">
      <c r="A66" s="89">
        <f t="shared" si="4"/>
        <v>2002</v>
      </c>
      <c r="B66" s="69">
        <v>37591</v>
      </c>
      <c r="C66" s="125">
        <v>13.7</v>
      </c>
      <c r="D66" s="125">
        <v>8.9</v>
      </c>
      <c r="E66" s="126">
        <v>31.9</v>
      </c>
      <c r="F66" s="125">
        <v>10</v>
      </c>
      <c r="G66" s="125">
        <v>111.1</v>
      </c>
      <c r="H66" s="125">
        <v>1</v>
      </c>
      <c r="I66" s="126">
        <v>16.2</v>
      </c>
      <c r="J66" s="125">
        <v>192.8</v>
      </c>
      <c r="K66" s="77">
        <f t="shared" si="5"/>
        <v>81.700000000000017</v>
      </c>
      <c r="L66" s="130">
        <f t="shared" si="6"/>
        <v>0.57624481327800825</v>
      </c>
    </row>
    <row r="67" spans="1:12">
      <c r="A67" s="89">
        <f t="shared" si="4"/>
        <v>2003</v>
      </c>
      <c r="B67" s="69">
        <v>37681</v>
      </c>
      <c r="C67" s="123">
        <v>13.2</v>
      </c>
      <c r="D67" s="123">
        <v>12.1</v>
      </c>
      <c r="E67" s="124">
        <v>23.5</v>
      </c>
      <c r="F67" s="123">
        <v>6</v>
      </c>
      <c r="G67" s="123">
        <v>90.8</v>
      </c>
      <c r="H67" s="123">
        <v>1.2</v>
      </c>
      <c r="I67" s="124">
        <v>6.6</v>
      </c>
      <c r="J67" s="123">
        <v>153.4</v>
      </c>
      <c r="K67" s="67">
        <f t="shared" si="5"/>
        <v>62.600000000000009</v>
      </c>
      <c r="L67" s="129">
        <f t="shared" si="6"/>
        <v>0.59191655801825294</v>
      </c>
    </row>
    <row r="68" spans="1:12">
      <c r="A68" s="89">
        <f t="shared" si="4"/>
        <v>2003</v>
      </c>
      <c r="B68" s="69">
        <v>37773</v>
      </c>
      <c r="C68" s="125">
        <v>16.5</v>
      </c>
      <c r="D68" s="125">
        <v>14.5</v>
      </c>
      <c r="E68" s="126">
        <v>35.700000000000003</v>
      </c>
      <c r="F68" s="125">
        <v>11</v>
      </c>
      <c r="G68" s="125">
        <v>111.6</v>
      </c>
      <c r="H68" s="125">
        <v>1</v>
      </c>
      <c r="I68" s="126">
        <v>13.4</v>
      </c>
      <c r="J68" s="125">
        <v>203.7</v>
      </c>
      <c r="K68" s="77">
        <f t="shared" si="5"/>
        <v>92.1</v>
      </c>
      <c r="L68" s="130">
        <f t="shared" si="6"/>
        <v>0.54786450662739328</v>
      </c>
    </row>
    <row r="69" spans="1:12">
      <c r="A69" s="89">
        <f t="shared" si="4"/>
        <v>2003</v>
      </c>
      <c r="B69" s="69">
        <v>37865</v>
      </c>
      <c r="C69" s="123">
        <v>10.4</v>
      </c>
      <c r="D69" s="123">
        <v>12.9</v>
      </c>
      <c r="E69" s="124">
        <v>26</v>
      </c>
      <c r="F69" s="123">
        <v>9.3000000000000007</v>
      </c>
      <c r="G69" s="123">
        <v>108.5</v>
      </c>
      <c r="H69" s="123">
        <v>1.2</v>
      </c>
      <c r="I69" s="124">
        <v>11.2</v>
      </c>
      <c r="J69" s="123">
        <v>179.7</v>
      </c>
      <c r="K69" s="67">
        <f t="shared" si="5"/>
        <v>71.199999999999989</v>
      </c>
      <c r="L69" s="129">
        <f t="shared" si="6"/>
        <v>0.60378408458542021</v>
      </c>
    </row>
    <row r="70" spans="1:12">
      <c r="A70" s="89">
        <f t="shared" si="4"/>
        <v>2003</v>
      </c>
      <c r="B70" s="69">
        <v>37956</v>
      </c>
      <c r="C70" s="125">
        <v>14.8</v>
      </c>
      <c r="D70" s="125">
        <v>10.6</v>
      </c>
      <c r="E70" s="126">
        <v>31.2</v>
      </c>
      <c r="F70" s="125">
        <v>9.6</v>
      </c>
      <c r="G70" s="125">
        <v>122</v>
      </c>
      <c r="H70" s="125">
        <v>1</v>
      </c>
      <c r="I70" s="126">
        <v>10.3</v>
      </c>
      <c r="J70" s="125">
        <v>199.5</v>
      </c>
      <c r="K70" s="77">
        <f t="shared" si="5"/>
        <v>77.5</v>
      </c>
      <c r="L70" s="130">
        <f t="shared" si="6"/>
        <v>0.61152882205513781</v>
      </c>
    </row>
    <row r="71" spans="1:12">
      <c r="A71" s="89">
        <f t="shared" si="4"/>
        <v>2004</v>
      </c>
      <c r="B71" s="69">
        <v>38047</v>
      </c>
      <c r="C71" s="123">
        <v>10.6</v>
      </c>
      <c r="D71" s="123">
        <v>17.399999999999999</v>
      </c>
      <c r="E71" s="124">
        <v>26</v>
      </c>
      <c r="F71" s="123">
        <v>7.1</v>
      </c>
      <c r="G71" s="123">
        <v>96.5</v>
      </c>
      <c r="H71" s="123">
        <v>1.7</v>
      </c>
      <c r="I71" s="124">
        <v>7.9</v>
      </c>
      <c r="J71" s="123">
        <v>167.3</v>
      </c>
      <c r="K71" s="67">
        <f t="shared" si="5"/>
        <v>70.800000000000011</v>
      </c>
      <c r="L71" s="129">
        <f t="shared" si="6"/>
        <v>0.57680812910938428</v>
      </c>
    </row>
    <row r="72" spans="1:12">
      <c r="A72" s="89">
        <f t="shared" si="4"/>
        <v>2004</v>
      </c>
      <c r="B72" s="69">
        <v>38139</v>
      </c>
      <c r="C72" s="125">
        <v>14.7</v>
      </c>
      <c r="D72" s="125">
        <v>12.6</v>
      </c>
      <c r="E72" s="126">
        <v>42</v>
      </c>
      <c r="F72" s="125">
        <v>15.7</v>
      </c>
      <c r="G72" s="125">
        <v>138.80000000000001</v>
      </c>
      <c r="H72" s="125">
        <v>3.6</v>
      </c>
      <c r="I72" s="126">
        <v>13.1</v>
      </c>
      <c r="J72" s="125">
        <v>240.2</v>
      </c>
      <c r="K72" s="77">
        <f t="shared" si="5"/>
        <v>101.39999999999998</v>
      </c>
      <c r="L72" s="130">
        <f t="shared" si="6"/>
        <v>0.57785179017485433</v>
      </c>
    </row>
    <row r="73" spans="1:12">
      <c r="A73" s="89">
        <f t="shared" si="4"/>
        <v>2004</v>
      </c>
      <c r="B73" s="69">
        <v>38231</v>
      </c>
      <c r="C73" s="123">
        <v>17.2</v>
      </c>
      <c r="D73" s="123">
        <v>14.5</v>
      </c>
      <c r="E73" s="124">
        <v>40.9</v>
      </c>
      <c r="F73" s="123">
        <v>15.5</v>
      </c>
      <c r="G73" s="123">
        <v>147.9</v>
      </c>
      <c r="H73" s="123">
        <v>1.3</v>
      </c>
      <c r="I73" s="124">
        <v>13.8</v>
      </c>
      <c r="J73" s="123">
        <v>251.1</v>
      </c>
      <c r="K73" s="67">
        <f t="shared" si="5"/>
        <v>103.19999999999999</v>
      </c>
      <c r="L73" s="129">
        <f t="shared" si="6"/>
        <v>0.58900836320191163</v>
      </c>
    </row>
    <row r="74" spans="1:12">
      <c r="A74" s="89">
        <f t="shared" ref="A74:A137" si="11">YEAR(B74)</f>
        <v>2004</v>
      </c>
      <c r="B74" s="69">
        <v>38322</v>
      </c>
      <c r="C74" s="125">
        <v>17.2</v>
      </c>
      <c r="D74" s="125">
        <v>7.9</v>
      </c>
      <c r="E74" s="126">
        <v>45.2</v>
      </c>
      <c r="F74" s="125">
        <v>17.2</v>
      </c>
      <c r="G74" s="125">
        <v>156.69999999999999</v>
      </c>
      <c r="H74" s="125">
        <v>1.6</v>
      </c>
      <c r="I74" s="126">
        <v>14.9</v>
      </c>
      <c r="J74" s="125">
        <v>260.8</v>
      </c>
      <c r="K74" s="77">
        <f t="shared" ref="K74:K122" si="12">J74-G74</f>
        <v>104.10000000000002</v>
      </c>
      <c r="L74" s="130">
        <f t="shared" ref="L74:L122" si="13">G74/J74</f>
        <v>0.60084355828220848</v>
      </c>
    </row>
    <row r="75" spans="1:12">
      <c r="A75" s="89">
        <f t="shared" si="11"/>
        <v>2005</v>
      </c>
      <c r="B75" s="69">
        <v>38412</v>
      </c>
      <c r="C75" s="123">
        <v>18</v>
      </c>
      <c r="D75" s="123">
        <v>13.8</v>
      </c>
      <c r="E75" s="124">
        <v>33.4</v>
      </c>
      <c r="F75" s="123">
        <v>14</v>
      </c>
      <c r="G75" s="123">
        <v>134.4</v>
      </c>
      <c r="H75" s="123">
        <v>2.5</v>
      </c>
      <c r="I75" s="124">
        <v>9.6</v>
      </c>
      <c r="J75" s="123">
        <v>225.8</v>
      </c>
      <c r="K75" s="67">
        <f t="shared" si="12"/>
        <v>91.4</v>
      </c>
      <c r="L75" s="129">
        <f t="shared" si="13"/>
        <v>0.59521700620017715</v>
      </c>
    </row>
    <row r="76" spans="1:12">
      <c r="A76" s="89">
        <f t="shared" si="11"/>
        <v>2005</v>
      </c>
      <c r="B76" s="69">
        <v>38504</v>
      </c>
      <c r="C76" s="125">
        <v>21.2</v>
      </c>
      <c r="D76" s="125">
        <v>15.3</v>
      </c>
      <c r="E76" s="126">
        <v>46.9</v>
      </c>
      <c r="F76" s="125">
        <v>20.100000000000001</v>
      </c>
      <c r="G76" s="125">
        <v>167</v>
      </c>
      <c r="H76" s="125">
        <v>2.9</v>
      </c>
      <c r="I76" s="126">
        <v>17.3</v>
      </c>
      <c r="J76" s="125">
        <v>290.7</v>
      </c>
      <c r="K76" s="77">
        <f t="shared" si="12"/>
        <v>123.69999999999999</v>
      </c>
      <c r="L76" s="130">
        <f t="shared" si="13"/>
        <v>0.57447540419676646</v>
      </c>
    </row>
    <row r="77" spans="1:12">
      <c r="A77" s="89">
        <f t="shared" si="11"/>
        <v>2005</v>
      </c>
      <c r="B77" s="69">
        <v>38596</v>
      </c>
      <c r="C77" s="123">
        <v>22.7</v>
      </c>
      <c r="D77" s="123">
        <v>15.7</v>
      </c>
      <c r="E77" s="124">
        <v>45.9</v>
      </c>
      <c r="F77" s="123">
        <v>25.8</v>
      </c>
      <c r="G77" s="123">
        <v>154.4</v>
      </c>
      <c r="H77" s="123">
        <v>3.6</v>
      </c>
      <c r="I77" s="124">
        <v>24.1</v>
      </c>
      <c r="J77" s="123">
        <v>292</v>
      </c>
      <c r="K77" s="67">
        <f t="shared" si="12"/>
        <v>137.6</v>
      </c>
      <c r="L77" s="129">
        <f t="shared" si="13"/>
        <v>0.52876712328767128</v>
      </c>
    </row>
    <row r="78" spans="1:12">
      <c r="A78" s="89">
        <f t="shared" si="11"/>
        <v>2005</v>
      </c>
      <c r="B78" s="69">
        <v>38687</v>
      </c>
      <c r="C78" s="125">
        <v>29.4</v>
      </c>
      <c r="D78" s="125">
        <v>20.7</v>
      </c>
      <c r="E78" s="126">
        <v>58.7</v>
      </c>
      <c r="F78" s="125">
        <v>39.5</v>
      </c>
      <c r="G78" s="125">
        <v>158</v>
      </c>
      <c r="H78" s="125">
        <v>3.7</v>
      </c>
      <c r="I78" s="126">
        <v>17.600000000000001</v>
      </c>
      <c r="J78" s="125">
        <v>327.60000000000002</v>
      </c>
      <c r="K78" s="77">
        <f t="shared" si="12"/>
        <v>169.60000000000002</v>
      </c>
      <c r="L78" s="130">
        <f t="shared" si="13"/>
        <v>0.48229548229548225</v>
      </c>
    </row>
    <row r="79" spans="1:12">
      <c r="A79" s="89">
        <f t="shared" si="11"/>
        <v>2006</v>
      </c>
      <c r="B79" s="69">
        <v>38777</v>
      </c>
      <c r="C79" s="123">
        <v>29.8</v>
      </c>
      <c r="D79" s="123">
        <v>17.8</v>
      </c>
      <c r="E79" s="124">
        <v>49</v>
      </c>
      <c r="F79" s="123">
        <v>24.7</v>
      </c>
      <c r="G79" s="123">
        <v>121.5</v>
      </c>
      <c r="H79" s="123">
        <v>8.4</v>
      </c>
      <c r="I79" s="124">
        <v>12.6</v>
      </c>
      <c r="J79" s="123">
        <v>263.7</v>
      </c>
      <c r="K79" s="67">
        <f t="shared" si="12"/>
        <v>142.19999999999999</v>
      </c>
      <c r="L79" s="129">
        <f t="shared" si="13"/>
        <v>0.46075085324232085</v>
      </c>
    </row>
    <row r="80" spans="1:12">
      <c r="A80" s="89">
        <f t="shared" si="11"/>
        <v>2006</v>
      </c>
      <c r="B80" s="69">
        <v>38869</v>
      </c>
      <c r="C80" s="125">
        <v>32.200000000000003</v>
      </c>
      <c r="D80" s="125">
        <v>20</v>
      </c>
      <c r="E80" s="126">
        <v>65.2</v>
      </c>
      <c r="F80" s="125">
        <v>56.5</v>
      </c>
      <c r="G80" s="125">
        <v>156.30000000000001</v>
      </c>
      <c r="H80" s="125">
        <v>6.9</v>
      </c>
      <c r="I80" s="126">
        <v>20.5</v>
      </c>
      <c r="J80" s="125">
        <v>357.4</v>
      </c>
      <c r="K80" s="77">
        <f t="shared" si="12"/>
        <v>201.09999999999997</v>
      </c>
      <c r="L80" s="130">
        <f t="shared" si="13"/>
        <v>0.43732512590934536</v>
      </c>
    </row>
    <row r="81" spans="1:12">
      <c r="A81" s="89">
        <f t="shared" si="11"/>
        <v>2006</v>
      </c>
      <c r="B81" s="69">
        <v>38961</v>
      </c>
      <c r="C81" s="123">
        <v>35.299999999999997</v>
      </c>
      <c r="D81" s="123">
        <v>22.3</v>
      </c>
      <c r="E81" s="124">
        <v>64.2</v>
      </c>
      <c r="F81" s="123">
        <v>51.1</v>
      </c>
      <c r="G81" s="123">
        <v>190.2</v>
      </c>
      <c r="H81" s="123">
        <v>6.6</v>
      </c>
      <c r="I81" s="124">
        <v>25</v>
      </c>
      <c r="J81" s="123">
        <v>394.6</v>
      </c>
      <c r="K81" s="67">
        <f t="shared" si="12"/>
        <v>204.40000000000003</v>
      </c>
      <c r="L81" s="129">
        <f t="shared" si="13"/>
        <v>0.48200709579320827</v>
      </c>
    </row>
    <row r="82" spans="1:12">
      <c r="A82" s="89">
        <f t="shared" si="11"/>
        <v>2006</v>
      </c>
      <c r="B82" s="69">
        <v>39052</v>
      </c>
      <c r="C82" s="125">
        <v>43</v>
      </c>
      <c r="D82" s="125">
        <v>22.1</v>
      </c>
      <c r="E82" s="126">
        <v>73.7</v>
      </c>
      <c r="F82" s="125">
        <v>59.1</v>
      </c>
      <c r="G82" s="125">
        <v>217.3</v>
      </c>
      <c r="H82" s="125">
        <v>5.9</v>
      </c>
      <c r="I82" s="126">
        <v>27.3</v>
      </c>
      <c r="J82" s="125">
        <v>448.2</v>
      </c>
      <c r="K82" s="77">
        <f t="shared" si="12"/>
        <v>230.89999999999998</v>
      </c>
      <c r="L82" s="130">
        <f t="shared" si="13"/>
        <v>0.48482820169567159</v>
      </c>
    </row>
    <row r="83" spans="1:12">
      <c r="A83" s="89">
        <f t="shared" si="11"/>
        <v>2007</v>
      </c>
      <c r="B83" s="69">
        <v>39142</v>
      </c>
      <c r="C83" s="123">
        <v>32.299999999999997</v>
      </c>
      <c r="D83" s="123">
        <v>16.899999999999999</v>
      </c>
      <c r="E83" s="124">
        <v>54.4</v>
      </c>
      <c r="F83" s="123">
        <v>66.5</v>
      </c>
      <c r="G83" s="123">
        <v>179.9</v>
      </c>
      <c r="H83" s="123">
        <v>3</v>
      </c>
      <c r="I83" s="124">
        <v>16.399999999999999</v>
      </c>
      <c r="J83" s="123">
        <v>369.3</v>
      </c>
      <c r="K83" s="67">
        <f t="shared" si="12"/>
        <v>189.4</v>
      </c>
      <c r="L83" s="129">
        <f t="shared" si="13"/>
        <v>0.48713782832385594</v>
      </c>
    </row>
    <row r="84" spans="1:12">
      <c r="A84" s="89">
        <f t="shared" si="11"/>
        <v>2007</v>
      </c>
      <c r="B84" s="69">
        <v>39234</v>
      </c>
      <c r="C84" s="125">
        <v>33.5</v>
      </c>
      <c r="D84" s="125">
        <v>21.2</v>
      </c>
      <c r="E84" s="126">
        <v>80</v>
      </c>
      <c r="F84" s="125">
        <v>84.1</v>
      </c>
      <c r="G84" s="125">
        <v>251.8</v>
      </c>
      <c r="H84" s="125">
        <v>8.4</v>
      </c>
      <c r="I84" s="126">
        <v>23.5</v>
      </c>
      <c r="J84" s="125">
        <v>502.5</v>
      </c>
      <c r="K84" s="77">
        <f t="shared" si="12"/>
        <v>250.7</v>
      </c>
      <c r="L84" s="130">
        <f t="shared" si="13"/>
        <v>0.50109452736318405</v>
      </c>
    </row>
    <row r="85" spans="1:12">
      <c r="A85" s="89">
        <f t="shared" si="11"/>
        <v>2007</v>
      </c>
      <c r="B85" s="69">
        <v>39326</v>
      </c>
      <c r="C85" s="123">
        <v>38</v>
      </c>
      <c r="D85" s="123">
        <v>17.7</v>
      </c>
      <c r="E85" s="124">
        <v>84.9</v>
      </c>
      <c r="F85" s="123">
        <v>87.2</v>
      </c>
      <c r="G85" s="123">
        <v>293.3</v>
      </c>
      <c r="H85" s="123">
        <v>9</v>
      </c>
      <c r="I85" s="124">
        <v>33.4</v>
      </c>
      <c r="J85" s="123">
        <v>563.4</v>
      </c>
      <c r="K85" s="67">
        <f t="shared" si="12"/>
        <v>270.09999999999997</v>
      </c>
      <c r="L85" s="129">
        <f t="shared" si="13"/>
        <v>0.52058927937522192</v>
      </c>
    </row>
    <row r="86" spans="1:12">
      <c r="A86" s="89">
        <f t="shared" si="11"/>
        <v>2007</v>
      </c>
      <c r="B86" s="69">
        <v>39417</v>
      </c>
      <c r="C86" s="125">
        <v>48.3</v>
      </c>
      <c r="D86" s="125">
        <v>25.3</v>
      </c>
      <c r="E86" s="126">
        <v>99.9</v>
      </c>
      <c r="F86" s="125">
        <v>93.5</v>
      </c>
      <c r="G86" s="125">
        <v>313.8</v>
      </c>
      <c r="H86" s="125">
        <v>7</v>
      </c>
      <c r="I86" s="126">
        <v>38.200000000000003</v>
      </c>
      <c r="J86" s="125">
        <v>625.9</v>
      </c>
      <c r="K86" s="77">
        <f t="shared" si="12"/>
        <v>312.09999999999997</v>
      </c>
      <c r="L86" s="130">
        <f t="shared" si="13"/>
        <v>0.50135804441604093</v>
      </c>
    </row>
    <row r="87" spans="1:12">
      <c r="A87" s="89">
        <f t="shared" si="11"/>
        <v>2008</v>
      </c>
      <c r="B87" s="69">
        <v>39508</v>
      </c>
      <c r="C87" s="123">
        <v>52.3</v>
      </c>
      <c r="D87" s="123">
        <v>23.6</v>
      </c>
      <c r="E87" s="124">
        <v>86.3</v>
      </c>
      <c r="F87" s="123">
        <v>79.3</v>
      </c>
      <c r="G87" s="123">
        <v>271.39999999999998</v>
      </c>
      <c r="H87" s="123">
        <v>8.1999999999999993</v>
      </c>
      <c r="I87" s="124">
        <v>22.9</v>
      </c>
      <c r="J87" s="123">
        <v>544</v>
      </c>
      <c r="K87" s="67">
        <f t="shared" si="12"/>
        <v>272.60000000000002</v>
      </c>
      <c r="L87" s="129">
        <f t="shared" si="13"/>
        <v>0.49889705882352936</v>
      </c>
    </row>
    <row r="88" spans="1:12">
      <c r="A88" s="89">
        <f t="shared" si="11"/>
        <v>2008</v>
      </c>
      <c r="B88" s="69">
        <v>39600</v>
      </c>
      <c r="C88" s="125">
        <v>51.3</v>
      </c>
      <c r="D88" s="125">
        <v>27.1</v>
      </c>
      <c r="E88" s="126">
        <v>126.8</v>
      </c>
      <c r="F88" s="125">
        <v>95.2</v>
      </c>
      <c r="G88" s="125">
        <v>381.2</v>
      </c>
      <c r="H88" s="125">
        <v>8.3000000000000007</v>
      </c>
      <c r="I88" s="126">
        <v>38.200000000000003</v>
      </c>
      <c r="J88" s="125">
        <v>728.1</v>
      </c>
      <c r="K88" s="77">
        <f t="shared" si="12"/>
        <v>346.90000000000003</v>
      </c>
      <c r="L88" s="130">
        <f t="shared" si="13"/>
        <v>0.52355445680538382</v>
      </c>
    </row>
    <row r="89" spans="1:12">
      <c r="A89" s="89">
        <f t="shared" si="11"/>
        <v>2008</v>
      </c>
      <c r="B89" s="69">
        <v>39692</v>
      </c>
      <c r="C89" s="123">
        <v>49.2</v>
      </c>
      <c r="D89" s="123">
        <v>22.4</v>
      </c>
      <c r="E89" s="124">
        <v>109.5</v>
      </c>
      <c r="F89" s="123">
        <v>75</v>
      </c>
      <c r="G89" s="123">
        <v>383.8</v>
      </c>
      <c r="H89" s="123">
        <v>7.3</v>
      </c>
      <c r="I89" s="124">
        <v>40.6</v>
      </c>
      <c r="J89" s="123">
        <v>687.7</v>
      </c>
      <c r="K89" s="67">
        <f t="shared" si="12"/>
        <v>303.90000000000003</v>
      </c>
      <c r="L89" s="129">
        <f t="shared" si="13"/>
        <v>0.55809219136251276</v>
      </c>
    </row>
    <row r="90" spans="1:12">
      <c r="A90" s="89">
        <f t="shared" si="11"/>
        <v>2008</v>
      </c>
      <c r="B90" s="69">
        <v>39783</v>
      </c>
      <c r="C90" s="125">
        <v>49.6</v>
      </c>
      <c r="D90" s="125">
        <v>19.5</v>
      </c>
      <c r="E90" s="126">
        <v>94.9</v>
      </c>
      <c r="F90" s="125">
        <v>68</v>
      </c>
      <c r="G90" s="125">
        <v>364</v>
      </c>
      <c r="H90" s="125">
        <v>7</v>
      </c>
      <c r="I90" s="126">
        <v>45.5</v>
      </c>
      <c r="J90" s="125">
        <v>648.5</v>
      </c>
      <c r="K90" s="77">
        <f t="shared" si="12"/>
        <v>284.5</v>
      </c>
      <c r="L90" s="130">
        <f t="shared" si="13"/>
        <v>0.56129529683885893</v>
      </c>
    </row>
    <row r="91" spans="1:12">
      <c r="A91" s="89">
        <f t="shared" si="11"/>
        <v>2009</v>
      </c>
      <c r="B91" s="69">
        <v>39873</v>
      </c>
      <c r="C91" s="123">
        <v>40.200000000000003</v>
      </c>
      <c r="D91" s="123">
        <v>10.3</v>
      </c>
      <c r="E91" s="124">
        <v>68.599999999999994</v>
      </c>
      <c r="F91" s="123">
        <v>36</v>
      </c>
      <c r="G91" s="123">
        <v>224.2</v>
      </c>
      <c r="H91" s="123">
        <v>3.3</v>
      </c>
      <c r="I91" s="124">
        <v>20.9</v>
      </c>
      <c r="J91" s="123">
        <v>403.5</v>
      </c>
      <c r="K91" s="67">
        <f t="shared" si="12"/>
        <v>179.3</v>
      </c>
      <c r="L91" s="129">
        <f t="shared" si="13"/>
        <v>0.55563816604708793</v>
      </c>
    </row>
    <row r="92" spans="1:12">
      <c r="A92" s="89">
        <f t="shared" si="11"/>
        <v>2009</v>
      </c>
      <c r="B92" s="69">
        <v>39965</v>
      </c>
      <c r="C92" s="125">
        <v>36.299999999999997</v>
      </c>
      <c r="D92" s="125">
        <v>10</v>
      </c>
      <c r="E92" s="126">
        <v>78.599999999999994</v>
      </c>
      <c r="F92" s="125">
        <v>41.8</v>
      </c>
      <c r="G92" s="125">
        <v>274.8</v>
      </c>
      <c r="H92" s="125">
        <v>2.7</v>
      </c>
      <c r="I92" s="126">
        <v>39.200000000000003</v>
      </c>
      <c r="J92" s="125">
        <v>483.5</v>
      </c>
      <c r="K92" s="77">
        <f t="shared" si="12"/>
        <v>208.7</v>
      </c>
      <c r="L92" s="130">
        <f t="shared" si="13"/>
        <v>0.56835573940020689</v>
      </c>
    </row>
    <row r="93" spans="1:12">
      <c r="A93" s="89">
        <f t="shared" si="11"/>
        <v>2009</v>
      </c>
      <c r="B93" s="69">
        <v>40057</v>
      </c>
      <c r="C93" s="123">
        <v>38.700000000000003</v>
      </c>
      <c r="D93" s="123">
        <v>15</v>
      </c>
      <c r="E93" s="124">
        <v>103.8</v>
      </c>
      <c r="F93" s="123">
        <v>48.2</v>
      </c>
      <c r="G93" s="123">
        <v>298.89999999999998</v>
      </c>
      <c r="H93" s="123">
        <v>3.5</v>
      </c>
      <c r="I93" s="124">
        <v>49.2</v>
      </c>
      <c r="J93" s="123">
        <v>557.4</v>
      </c>
      <c r="K93" s="67">
        <f t="shared" si="12"/>
        <v>258.5</v>
      </c>
      <c r="L93" s="129">
        <f t="shared" si="13"/>
        <v>0.5362396842482956</v>
      </c>
    </row>
    <row r="94" spans="1:12">
      <c r="A94" s="89">
        <f t="shared" si="11"/>
        <v>2009</v>
      </c>
      <c r="B94" s="69">
        <v>40148</v>
      </c>
      <c r="C94" s="125">
        <v>28.4</v>
      </c>
      <c r="D94" s="125">
        <v>24</v>
      </c>
      <c r="E94" s="126">
        <v>123.5</v>
      </c>
      <c r="F94" s="125">
        <v>37.6</v>
      </c>
      <c r="G94" s="125">
        <v>321.7</v>
      </c>
      <c r="H94" s="125">
        <v>4.4000000000000004</v>
      </c>
      <c r="I94" s="126">
        <v>39.1</v>
      </c>
      <c r="J94" s="125">
        <v>578.79999999999995</v>
      </c>
      <c r="K94" s="77">
        <f t="shared" si="12"/>
        <v>257.09999999999997</v>
      </c>
      <c r="L94" s="130">
        <f t="shared" si="13"/>
        <v>0.55580511402902555</v>
      </c>
    </row>
    <row r="95" spans="1:12">
      <c r="A95" s="89">
        <f t="shared" si="11"/>
        <v>2010</v>
      </c>
      <c r="B95" s="69">
        <v>40238</v>
      </c>
      <c r="C95" s="123">
        <v>32.6</v>
      </c>
      <c r="D95" s="123">
        <v>24.2</v>
      </c>
      <c r="E95" s="124">
        <v>80.599999999999994</v>
      </c>
      <c r="F95" s="123">
        <v>34</v>
      </c>
      <c r="G95" s="123">
        <v>257.10000000000002</v>
      </c>
      <c r="H95" s="123">
        <v>5.7</v>
      </c>
      <c r="I95" s="124">
        <v>25</v>
      </c>
      <c r="J95" s="123">
        <v>459.3</v>
      </c>
      <c r="K95" s="67">
        <f t="shared" si="12"/>
        <v>202.2</v>
      </c>
      <c r="L95" s="129">
        <f t="shared" si="13"/>
        <v>0.5597648595689092</v>
      </c>
    </row>
    <row r="96" spans="1:12">
      <c r="A96" s="89">
        <f t="shared" si="11"/>
        <v>2010</v>
      </c>
      <c r="B96" s="69">
        <v>40330</v>
      </c>
      <c r="C96" s="125">
        <v>30.7</v>
      </c>
      <c r="D96" s="125">
        <v>20.2</v>
      </c>
      <c r="E96" s="126">
        <v>128.69999999999999</v>
      </c>
      <c r="F96" s="125">
        <v>48.1</v>
      </c>
      <c r="G96" s="125">
        <v>366.3</v>
      </c>
      <c r="H96" s="125">
        <v>7.1</v>
      </c>
      <c r="I96" s="126">
        <v>36.1</v>
      </c>
      <c r="J96" s="125">
        <v>637.1</v>
      </c>
      <c r="K96" s="77">
        <f t="shared" si="12"/>
        <v>270.8</v>
      </c>
      <c r="L96" s="130">
        <f t="shared" si="13"/>
        <v>0.57494898760006274</v>
      </c>
    </row>
    <row r="97" spans="1:12">
      <c r="A97" s="89">
        <f t="shared" si="11"/>
        <v>2010</v>
      </c>
      <c r="B97" s="69">
        <v>40422</v>
      </c>
      <c r="C97" s="123">
        <v>31.5</v>
      </c>
      <c r="D97" s="123">
        <v>12.4</v>
      </c>
      <c r="E97" s="124">
        <v>129.80000000000001</v>
      </c>
      <c r="F97" s="123">
        <v>47.4</v>
      </c>
      <c r="G97" s="123">
        <v>384.6</v>
      </c>
      <c r="H97" s="123">
        <v>8</v>
      </c>
      <c r="I97" s="124">
        <v>55.8</v>
      </c>
      <c r="J97" s="123">
        <v>669.4</v>
      </c>
      <c r="K97" s="67">
        <f t="shared" si="12"/>
        <v>284.79999999999995</v>
      </c>
      <c r="L97" s="129">
        <f t="shared" si="13"/>
        <v>0.57454436809082765</v>
      </c>
    </row>
    <row r="98" spans="1:12">
      <c r="A98" s="89">
        <f t="shared" si="11"/>
        <v>2010</v>
      </c>
      <c r="B98" s="69">
        <v>40513</v>
      </c>
      <c r="C98" s="125">
        <v>36.9</v>
      </c>
      <c r="D98" s="125">
        <v>12.5</v>
      </c>
      <c r="E98" s="126">
        <v>161.80000000000001</v>
      </c>
      <c r="F98" s="125">
        <v>59.5</v>
      </c>
      <c r="G98" s="125">
        <v>393.7</v>
      </c>
      <c r="H98" s="125">
        <v>10.199999999999999</v>
      </c>
      <c r="I98" s="126">
        <v>49.8</v>
      </c>
      <c r="J98" s="125">
        <v>724.4</v>
      </c>
      <c r="K98" s="77">
        <f t="shared" si="12"/>
        <v>330.7</v>
      </c>
      <c r="L98" s="130">
        <f t="shared" si="13"/>
        <v>0.54348426283821094</v>
      </c>
    </row>
    <row r="99" spans="1:12">
      <c r="A99" s="89">
        <f t="shared" si="11"/>
        <v>2011</v>
      </c>
      <c r="B99" s="69">
        <v>40603</v>
      </c>
      <c r="C99" s="123">
        <v>39</v>
      </c>
      <c r="D99" s="123">
        <v>13.1</v>
      </c>
      <c r="E99" s="124">
        <v>129.1</v>
      </c>
      <c r="F99" s="123">
        <v>62.6</v>
      </c>
      <c r="G99" s="123">
        <v>362.2</v>
      </c>
      <c r="H99" s="123">
        <v>9.4</v>
      </c>
      <c r="I99" s="124">
        <v>34.700000000000003</v>
      </c>
      <c r="J99" s="123">
        <v>650.1</v>
      </c>
      <c r="K99" s="67">
        <f t="shared" si="12"/>
        <v>287.90000000000003</v>
      </c>
      <c r="L99" s="129">
        <f t="shared" si="13"/>
        <v>0.55714505460698349</v>
      </c>
    </row>
    <row r="100" spans="1:12">
      <c r="A100" s="89">
        <f t="shared" si="11"/>
        <v>2011</v>
      </c>
      <c r="B100" s="69">
        <v>40695</v>
      </c>
      <c r="C100" s="125">
        <v>45.8</v>
      </c>
      <c r="D100" s="125">
        <v>19.399999999999999</v>
      </c>
      <c r="E100" s="126">
        <v>242.8</v>
      </c>
      <c r="F100" s="125">
        <v>85.2</v>
      </c>
      <c r="G100" s="125">
        <v>449.6</v>
      </c>
      <c r="H100" s="125">
        <v>9.6</v>
      </c>
      <c r="I100" s="126">
        <v>55</v>
      </c>
      <c r="J100" s="125">
        <v>907.4</v>
      </c>
      <c r="K100" s="77">
        <f t="shared" si="12"/>
        <v>457.79999999999995</v>
      </c>
      <c r="L100" s="130">
        <f t="shared" si="13"/>
        <v>0.49548159576812878</v>
      </c>
    </row>
    <row r="101" spans="1:12">
      <c r="A101" s="89">
        <f t="shared" si="11"/>
        <v>2011</v>
      </c>
      <c r="B101" s="69">
        <v>40787</v>
      </c>
      <c r="C101" s="123">
        <v>63.6</v>
      </c>
      <c r="D101" s="123">
        <v>19.399999999999999</v>
      </c>
      <c r="E101" s="124">
        <v>263</v>
      </c>
      <c r="F101" s="123">
        <v>74.7</v>
      </c>
      <c r="G101" s="123">
        <v>481.6</v>
      </c>
      <c r="H101" s="123">
        <v>9.6</v>
      </c>
      <c r="I101" s="124">
        <v>71.599999999999994</v>
      </c>
      <c r="J101" s="123">
        <v>983.4</v>
      </c>
      <c r="K101" s="67">
        <f t="shared" si="12"/>
        <v>501.79999999999995</v>
      </c>
      <c r="L101" s="129">
        <f t="shared" si="13"/>
        <v>0.48972950986373809</v>
      </c>
    </row>
    <row r="102" spans="1:12">
      <c r="A102" s="89">
        <f t="shared" si="11"/>
        <v>2011</v>
      </c>
      <c r="B102" s="69">
        <v>40878</v>
      </c>
      <c r="C102" s="125">
        <v>63.4</v>
      </c>
      <c r="D102" s="125">
        <v>13.1</v>
      </c>
      <c r="E102" s="126">
        <v>256.60000000000002</v>
      </c>
      <c r="F102" s="125">
        <v>90.3</v>
      </c>
      <c r="G102" s="125">
        <v>531.9</v>
      </c>
      <c r="H102" s="125">
        <v>10.1</v>
      </c>
      <c r="I102" s="126">
        <v>67.099999999999994</v>
      </c>
      <c r="J102" s="125">
        <v>1032.4000000000001</v>
      </c>
      <c r="K102" s="77">
        <f t="shared" si="12"/>
        <v>500.50000000000011</v>
      </c>
      <c r="L102" s="130">
        <f t="shared" si="13"/>
        <v>0.51520728399845017</v>
      </c>
    </row>
    <row r="103" spans="1:12">
      <c r="A103" s="89">
        <f t="shared" si="11"/>
        <v>2012</v>
      </c>
      <c r="B103" s="69">
        <v>40969</v>
      </c>
      <c r="C103" s="123">
        <v>58.8</v>
      </c>
      <c r="D103" s="123">
        <v>13.2</v>
      </c>
      <c r="E103" s="124">
        <v>199.1</v>
      </c>
      <c r="F103" s="123">
        <v>73.400000000000006</v>
      </c>
      <c r="G103" s="123">
        <v>490.1</v>
      </c>
      <c r="H103" s="123">
        <v>10</v>
      </c>
      <c r="I103" s="124">
        <v>31.6</v>
      </c>
      <c r="J103" s="123">
        <v>876.1</v>
      </c>
      <c r="K103" s="67">
        <f t="shared" si="12"/>
        <v>386</v>
      </c>
      <c r="L103" s="129">
        <f t="shared" si="13"/>
        <v>0.55941102613856863</v>
      </c>
    </row>
    <row r="104" spans="1:12">
      <c r="A104" s="89">
        <f t="shared" si="11"/>
        <v>2012</v>
      </c>
      <c r="B104" s="69">
        <v>41061</v>
      </c>
      <c r="C104" s="125">
        <v>56.4</v>
      </c>
      <c r="D104" s="125">
        <v>12.8</v>
      </c>
      <c r="E104" s="126">
        <v>248.8</v>
      </c>
      <c r="F104" s="125">
        <v>90</v>
      </c>
      <c r="G104" s="125">
        <v>603.20000000000005</v>
      </c>
      <c r="H104" s="125">
        <v>9.6999999999999993</v>
      </c>
      <c r="I104" s="126">
        <v>40.1</v>
      </c>
      <c r="J104" s="125">
        <v>1061.0999999999999</v>
      </c>
      <c r="K104" s="77">
        <f t="shared" si="12"/>
        <v>457.89999999999986</v>
      </c>
      <c r="L104" s="130">
        <f t="shared" si="13"/>
        <v>0.56846668551503166</v>
      </c>
    </row>
    <row r="105" spans="1:12">
      <c r="A105" s="89">
        <f t="shared" si="11"/>
        <v>2012</v>
      </c>
      <c r="B105" s="69">
        <v>41153</v>
      </c>
      <c r="C105" s="123">
        <v>49.2</v>
      </c>
      <c r="D105" s="123">
        <v>10.199999999999999</v>
      </c>
      <c r="E105" s="124">
        <v>207</v>
      </c>
      <c r="F105" s="123">
        <v>81.400000000000006</v>
      </c>
      <c r="G105" s="123">
        <v>488.6</v>
      </c>
      <c r="H105" s="123">
        <v>10.9</v>
      </c>
      <c r="I105" s="124">
        <v>47.4</v>
      </c>
      <c r="J105" s="123">
        <v>894.7</v>
      </c>
      <c r="K105" s="67">
        <f t="shared" si="12"/>
        <v>406.1</v>
      </c>
      <c r="L105" s="129">
        <f t="shared" si="13"/>
        <v>0.54610483961104284</v>
      </c>
    </row>
    <row r="106" spans="1:12">
      <c r="A106" s="89">
        <f t="shared" si="11"/>
        <v>2012</v>
      </c>
      <c r="B106" s="69">
        <v>41244</v>
      </c>
      <c r="C106" s="125">
        <v>45.4</v>
      </c>
      <c r="D106" s="125">
        <v>7.9</v>
      </c>
      <c r="E106" s="126">
        <v>189.5</v>
      </c>
      <c r="F106" s="125">
        <v>66.8</v>
      </c>
      <c r="G106" s="125">
        <v>470.7</v>
      </c>
      <c r="H106" s="125">
        <v>10.1</v>
      </c>
      <c r="I106" s="126">
        <v>33.5</v>
      </c>
      <c r="J106" s="125">
        <v>823.9</v>
      </c>
      <c r="K106" s="77">
        <f t="shared" si="12"/>
        <v>353.2</v>
      </c>
      <c r="L106" s="130">
        <f t="shared" si="13"/>
        <v>0.5713071974754218</v>
      </c>
    </row>
    <row r="107" spans="1:12">
      <c r="A107" s="89">
        <f t="shared" si="11"/>
        <v>2013</v>
      </c>
      <c r="B107" s="69">
        <v>41334</v>
      </c>
      <c r="C107" s="123">
        <v>44.7</v>
      </c>
      <c r="D107" s="123">
        <v>10.9</v>
      </c>
      <c r="E107" s="124">
        <v>125.6</v>
      </c>
      <c r="F107" s="123">
        <v>37.6</v>
      </c>
      <c r="G107" s="123">
        <v>421.8</v>
      </c>
      <c r="H107" s="123">
        <v>9.8000000000000007</v>
      </c>
      <c r="I107" s="124">
        <v>21.8</v>
      </c>
      <c r="J107" s="123">
        <v>672.2</v>
      </c>
      <c r="K107" s="67">
        <f t="shared" si="12"/>
        <v>250.40000000000003</v>
      </c>
      <c r="L107" s="129">
        <f t="shared" si="13"/>
        <v>0.6274918179113359</v>
      </c>
    </row>
    <row r="108" spans="1:12">
      <c r="A108" s="89">
        <f t="shared" si="11"/>
        <v>2013</v>
      </c>
      <c r="B108" s="69">
        <v>41426</v>
      </c>
      <c r="C108" s="125">
        <v>48</v>
      </c>
      <c r="D108" s="125">
        <v>9.5</v>
      </c>
      <c r="E108" s="126">
        <v>141.6</v>
      </c>
      <c r="F108" s="125">
        <v>44.6</v>
      </c>
      <c r="G108" s="125">
        <v>382.3</v>
      </c>
      <c r="H108" s="125">
        <v>9.6</v>
      </c>
      <c r="I108" s="126">
        <v>29</v>
      </c>
      <c r="J108" s="125">
        <v>664.6</v>
      </c>
      <c r="K108" s="77">
        <f t="shared" si="12"/>
        <v>282.3</v>
      </c>
      <c r="L108" s="130">
        <f t="shared" si="13"/>
        <v>0.575233222991273</v>
      </c>
    </row>
    <row r="109" spans="1:12">
      <c r="A109" s="89">
        <f t="shared" si="11"/>
        <v>2013</v>
      </c>
      <c r="B109" s="69">
        <v>41518</v>
      </c>
      <c r="C109" s="123">
        <v>35.9</v>
      </c>
      <c r="D109" s="123">
        <v>7.8</v>
      </c>
      <c r="E109" s="124">
        <v>130.9</v>
      </c>
      <c r="F109" s="123">
        <v>26.4</v>
      </c>
      <c r="G109" s="123">
        <v>395.8</v>
      </c>
      <c r="H109" s="123">
        <v>9.3000000000000007</v>
      </c>
      <c r="I109" s="124">
        <v>32.299999999999997</v>
      </c>
      <c r="J109" s="123">
        <v>638.4</v>
      </c>
      <c r="K109" s="67">
        <f t="shared" si="12"/>
        <v>242.59999999999997</v>
      </c>
      <c r="L109" s="129">
        <f t="shared" si="13"/>
        <v>0.6199874686716792</v>
      </c>
    </row>
    <row r="110" spans="1:12">
      <c r="A110" s="89">
        <f t="shared" si="11"/>
        <v>2013</v>
      </c>
      <c r="B110" s="69">
        <v>41609</v>
      </c>
      <c r="C110" s="125">
        <v>34.4</v>
      </c>
      <c r="D110" s="125">
        <v>8.1</v>
      </c>
      <c r="E110" s="126">
        <v>121.5</v>
      </c>
      <c r="F110" s="125">
        <v>36.1</v>
      </c>
      <c r="G110" s="125">
        <v>308.3</v>
      </c>
      <c r="H110" s="125">
        <v>8.8000000000000007</v>
      </c>
      <c r="I110" s="126">
        <v>30.2</v>
      </c>
      <c r="J110" s="125">
        <v>547.4</v>
      </c>
      <c r="K110" s="77">
        <f t="shared" si="12"/>
        <v>239.09999999999997</v>
      </c>
      <c r="L110" s="130">
        <f t="shared" si="13"/>
        <v>0.56320789185239317</v>
      </c>
    </row>
    <row r="111" spans="1:12">
      <c r="A111" s="89">
        <f t="shared" si="11"/>
        <v>2014</v>
      </c>
      <c r="B111" s="69">
        <v>41699</v>
      </c>
      <c r="C111" s="123">
        <v>40.700000000000003</v>
      </c>
      <c r="D111" s="123">
        <v>7.9</v>
      </c>
      <c r="E111" s="124">
        <v>100.2</v>
      </c>
      <c r="F111" s="123">
        <v>24.8</v>
      </c>
      <c r="G111" s="123">
        <v>206.2</v>
      </c>
      <c r="H111" s="123">
        <v>6.4</v>
      </c>
      <c r="I111" s="124">
        <v>21.4</v>
      </c>
      <c r="J111" s="123">
        <v>408</v>
      </c>
      <c r="K111" s="67">
        <f t="shared" si="12"/>
        <v>201.8</v>
      </c>
      <c r="L111" s="129">
        <f t="shared" si="13"/>
        <v>0.50539215686274508</v>
      </c>
    </row>
    <row r="112" spans="1:12">
      <c r="A112" s="89">
        <f t="shared" si="11"/>
        <v>2014</v>
      </c>
      <c r="B112" s="69">
        <v>41791</v>
      </c>
      <c r="C112" s="125">
        <v>27.9</v>
      </c>
      <c r="D112" s="125">
        <v>8.8000000000000007</v>
      </c>
      <c r="E112" s="126">
        <v>98.8</v>
      </c>
      <c r="F112" s="125">
        <v>29.1</v>
      </c>
      <c r="G112" s="125">
        <v>309.7</v>
      </c>
      <c r="H112" s="125">
        <v>5.6</v>
      </c>
      <c r="I112" s="126">
        <v>34.5</v>
      </c>
      <c r="J112" s="125">
        <v>515</v>
      </c>
      <c r="K112" s="77">
        <f t="shared" si="12"/>
        <v>205.3</v>
      </c>
      <c r="L112" s="130">
        <f t="shared" si="13"/>
        <v>0.6013592233009708</v>
      </c>
    </row>
    <row r="113" spans="1:12">
      <c r="A113" s="89">
        <f t="shared" si="11"/>
        <v>2014</v>
      </c>
      <c r="B113" s="69">
        <v>41883</v>
      </c>
      <c r="C113" s="123">
        <v>34.6</v>
      </c>
      <c r="D113" s="123">
        <v>5.6</v>
      </c>
      <c r="E113" s="124">
        <v>87.6</v>
      </c>
      <c r="F113" s="123">
        <v>25.3</v>
      </c>
      <c r="G113" s="123">
        <v>267.10000000000002</v>
      </c>
      <c r="H113" s="123">
        <v>7.5</v>
      </c>
      <c r="I113" s="124">
        <v>27.3</v>
      </c>
      <c r="J113" s="123">
        <v>457.7</v>
      </c>
      <c r="K113" s="67">
        <f t="shared" si="12"/>
        <v>190.59999999999997</v>
      </c>
      <c r="L113" s="129">
        <f t="shared" si="13"/>
        <v>0.58357002403320957</v>
      </c>
    </row>
    <row r="114" spans="1:12">
      <c r="A114" s="89">
        <f t="shared" si="11"/>
        <v>2014</v>
      </c>
      <c r="B114" s="69">
        <v>41974</v>
      </c>
      <c r="C114" s="125">
        <v>32.4</v>
      </c>
      <c r="D114" s="125">
        <v>5.0999999999999996</v>
      </c>
      <c r="E114" s="126">
        <v>102.9</v>
      </c>
      <c r="F114" s="125">
        <v>27.5</v>
      </c>
      <c r="G114" s="125">
        <v>262.3</v>
      </c>
      <c r="H114" s="125">
        <v>4.2</v>
      </c>
      <c r="I114" s="126">
        <v>24.8</v>
      </c>
      <c r="J114" s="125">
        <v>459.2</v>
      </c>
      <c r="K114" s="77">
        <f t="shared" si="12"/>
        <v>196.89999999999998</v>
      </c>
      <c r="L114" s="130">
        <f t="shared" si="13"/>
        <v>0.57121080139372826</v>
      </c>
    </row>
    <row r="115" spans="1:12">
      <c r="A115" s="89">
        <f t="shared" si="11"/>
        <v>2015</v>
      </c>
      <c r="B115" s="69">
        <v>42064</v>
      </c>
      <c r="C115" s="123">
        <v>29.7</v>
      </c>
      <c r="D115" s="123">
        <v>5.8</v>
      </c>
      <c r="E115" s="124">
        <v>52.9</v>
      </c>
      <c r="F115" s="123">
        <v>22.2</v>
      </c>
      <c r="G115" s="123">
        <v>183.2</v>
      </c>
      <c r="H115" s="123">
        <v>4.4000000000000004</v>
      </c>
      <c r="I115" s="124">
        <v>19.399999999999999</v>
      </c>
      <c r="J115" s="123">
        <v>317.7</v>
      </c>
      <c r="K115" s="67">
        <f t="shared" si="12"/>
        <v>134.5</v>
      </c>
      <c r="L115" s="129">
        <f t="shared" si="13"/>
        <v>0.57664463330185711</v>
      </c>
    </row>
    <row r="116" spans="1:12">
      <c r="A116" s="89">
        <f t="shared" si="11"/>
        <v>2015</v>
      </c>
      <c r="B116" s="69">
        <v>42156</v>
      </c>
      <c r="C116" s="125">
        <v>25.4</v>
      </c>
      <c r="D116" s="125">
        <v>6.4</v>
      </c>
      <c r="E116" s="126">
        <v>67.900000000000006</v>
      </c>
      <c r="F116" s="125">
        <v>11.7</v>
      </c>
      <c r="G116" s="125">
        <v>204.8</v>
      </c>
      <c r="H116" s="125">
        <v>3.8</v>
      </c>
      <c r="I116" s="126">
        <v>24.2</v>
      </c>
      <c r="J116" s="125">
        <v>344.1</v>
      </c>
      <c r="K116" s="77">
        <f t="shared" si="12"/>
        <v>139.30000000000001</v>
      </c>
      <c r="L116" s="130">
        <f t="shared" si="13"/>
        <v>0.59517582098227262</v>
      </c>
    </row>
    <row r="117" spans="1:12">
      <c r="A117" s="89">
        <f t="shared" si="11"/>
        <v>2015</v>
      </c>
      <c r="B117" s="69">
        <v>42248</v>
      </c>
      <c r="C117" s="123">
        <v>29.4</v>
      </c>
      <c r="D117" s="123">
        <v>6.4</v>
      </c>
      <c r="E117" s="124">
        <v>76.599999999999994</v>
      </c>
      <c r="F117" s="123">
        <v>11</v>
      </c>
      <c r="G117" s="123">
        <v>233.1</v>
      </c>
      <c r="H117" s="123">
        <v>3.9</v>
      </c>
      <c r="I117" s="124">
        <v>33.4</v>
      </c>
      <c r="J117" s="123">
        <v>394</v>
      </c>
      <c r="K117" s="67">
        <f t="shared" si="12"/>
        <v>160.9</v>
      </c>
      <c r="L117" s="129">
        <f t="shared" si="13"/>
        <v>0.59162436548223352</v>
      </c>
    </row>
    <row r="118" spans="1:12">
      <c r="A118" s="89">
        <f t="shared" si="11"/>
        <v>2015</v>
      </c>
      <c r="B118" s="69">
        <v>42339</v>
      </c>
      <c r="C118" s="125">
        <v>34.299999999999997</v>
      </c>
      <c r="D118" s="125">
        <v>8.1999999999999993</v>
      </c>
      <c r="E118" s="126">
        <v>73.900000000000006</v>
      </c>
      <c r="F118" s="125">
        <v>13</v>
      </c>
      <c r="G118" s="125">
        <v>222.6</v>
      </c>
      <c r="H118" s="125">
        <v>2.2999999999999998</v>
      </c>
      <c r="I118" s="126">
        <v>27.5</v>
      </c>
      <c r="J118" s="125">
        <v>382.8</v>
      </c>
      <c r="K118" s="77">
        <f t="shared" si="12"/>
        <v>160.20000000000002</v>
      </c>
      <c r="L118" s="130">
        <f t="shared" si="13"/>
        <v>0.58150470219435735</v>
      </c>
    </row>
    <row r="119" spans="1:12">
      <c r="A119" s="89">
        <f t="shared" si="11"/>
        <v>2016</v>
      </c>
      <c r="B119" s="69">
        <v>42430</v>
      </c>
      <c r="C119" s="123">
        <v>28.7</v>
      </c>
      <c r="D119" s="123">
        <v>6.2</v>
      </c>
      <c r="E119" s="124">
        <v>37.1</v>
      </c>
      <c r="F119" s="123">
        <v>7.7</v>
      </c>
      <c r="G119" s="123">
        <v>187.1</v>
      </c>
      <c r="H119" s="123">
        <v>3.8</v>
      </c>
      <c r="I119" s="124">
        <v>19.399999999999999</v>
      </c>
      <c r="J119" s="123">
        <v>290.39999999999998</v>
      </c>
      <c r="K119" s="67">
        <f t="shared" si="12"/>
        <v>103.29999999999998</v>
      </c>
      <c r="L119" s="129">
        <f t="shared" si="13"/>
        <v>0.64428374655647391</v>
      </c>
    </row>
    <row r="120" spans="1:12">
      <c r="A120" s="89">
        <f t="shared" si="11"/>
        <v>2016</v>
      </c>
      <c r="B120" s="69">
        <v>42522</v>
      </c>
      <c r="C120" s="125">
        <v>31.1</v>
      </c>
      <c r="D120" s="125">
        <v>8.1</v>
      </c>
      <c r="E120" s="126">
        <v>43.8</v>
      </c>
      <c r="F120" s="125">
        <v>18.899999999999999</v>
      </c>
      <c r="G120" s="125">
        <v>228.2</v>
      </c>
      <c r="H120" s="125">
        <v>3.4</v>
      </c>
      <c r="I120" s="126">
        <v>20.5</v>
      </c>
      <c r="J120" s="125">
        <v>353.9</v>
      </c>
      <c r="K120" s="77">
        <f t="shared" si="12"/>
        <v>125.69999999999999</v>
      </c>
      <c r="L120" s="130">
        <f t="shared" si="13"/>
        <v>0.64481491946877645</v>
      </c>
    </row>
    <row r="121" spans="1:12">
      <c r="A121" s="89">
        <f t="shared" si="11"/>
        <v>2016</v>
      </c>
      <c r="B121" s="526">
        <v>42614</v>
      </c>
      <c r="C121" s="123">
        <v>31.9</v>
      </c>
      <c r="D121" s="123">
        <v>7.9</v>
      </c>
      <c r="E121" s="124">
        <v>55.1</v>
      </c>
      <c r="F121" s="123">
        <v>10.4</v>
      </c>
      <c r="G121" s="123">
        <v>248.8</v>
      </c>
      <c r="H121" s="123">
        <v>3.2</v>
      </c>
      <c r="I121" s="124">
        <v>22.1</v>
      </c>
      <c r="J121" s="123">
        <v>379.5</v>
      </c>
      <c r="K121" s="67">
        <f t="shared" si="12"/>
        <v>130.69999999999999</v>
      </c>
      <c r="L121" s="129">
        <f t="shared" si="13"/>
        <v>0.65559947299077737</v>
      </c>
    </row>
    <row r="122" spans="1:12" ht="15.75" thickBot="1">
      <c r="A122" s="89">
        <f t="shared" si="11"/>
        <v>2016</v>
      </c>
      <c r="B122" s="525">
        <v>42705</v>
      </c>
      <c r="C122" s="127">
        <v>30.7</v>
      </c>
      <c r="D122" s="127">
        <v>8.1</v>
      </c>
      <c r="E122" s="128">
        <v>59.9</v>
      </c>
      <c r="F122" s="127">
        <v>12.4</v>
      </c>
      <c r="G122" s="127">
        <v>263.5</v>
      </c>
      <c r="H122" s="127">
        <v>3.1</v>
      </c>
      <c r="I122" s="128">
        <v>23.6</v>
      </c>
      <c r="J122" s="127">
        <v>403.1</v>
      </c>
      <c r="K122" s="93">
        <f t="shared" si="12"/>
        <v>139.60000000000002</v>
      </c>
      <c r="L122" s="131">
        <f t="shared" si="13"/>
        <v>0.65368394939221031</v>
      </c>
    </row>
    <row r="123" spans="1:12">
      <c r="A123" s="89">
        <f t="shared" si="11"/>
        <v>1900</v>
      </c>
    </row>
    <row r="124" spans="1:12">
      <c r="A124" s="89">
        <f t="shared" si="11"/>
        <v>1900</v>
      </c>
    </row>
    <row r="125" spans="1:12">
      <c r="A125" s="89">
        <f t="shared" si="11"/>
        <v>1900</v>
      </c>
    </row>
    <row r="126" spans="1:12">
      <c r="A126" s="89">
        <f t="shared" si="11"/>
        <v>1900</v>
      </c>
    </row>
    <row r="127" spans="1:12">
      <c r="A127" s="89">
        <f t="shared" si="11"/>
        <v>1900</v>
      </c>
    </row>
    <row r="128" spans="1:12">
      <c r="A128" s="89">
        <f t="shared" si="11"/>
        <v>1900</v>
      </c>
    </row>
    <row r="129" spans="1:1" s="428" customFormat="1">
      <c r="A129" s="89">
        <f t="shared" si="11"/>
        <v>1900</v>
      </c>
    </row>
    <row r="130" spans="1:1" s="428" customFormat="1">
      <c r="A130" s="89">
        <f t="shared" si="11"/>
        <v>1900</v>
      </c>
    </row>
    <row r="131" spans="1:1" s="428" customFormat="1">
      <c r="A131" s="89">
        <f t="shared" si="11"/>
        <v>1900</v>
      </c>
    </row>
    <row r="132" spans="1:1" s="428" customFormat="1">
      <c r="A132" s="89">
        <f t="shared" si="11"/>
        <v>1900</v>
      </c>
    </row>
    <row r="133" spans="1:1" s="428" customFormat="1">
      <c r="A133" s="89">
        <f t="shared" si="11"/>
        <v>1900</v>
      </c>
    </row>
    <row r="134" spans="1:1" s="428" customFormat="1">
      <c r="A134" s="89">
        <f t="shared" si="11"/>
        <v>1900</v>
      </c>
    </row>
    <row r="135" spans="1:1" s="428" customFormat="1">
      <c r="A135" s="89">
        <f t="shared" si="11"/>
        <v>1900</v>
      </c>
    </row>
    <row r="136" spans="1:1" s="428" customFormat="1">
      <c r="A136" s="89">
        <f t="shared" si="11"/>
        <v>1900</v>
      </c>
    </row>
    <row r="137" spans="1:1" s="428" customFormat="1">
      <c r="A137" s="89">
        <f t="shared" si="11"/>
        <v>1900</v>
      </c>
    </row>
    <row r="138" spans="1:1" s="428" customFormat="1">
      <c r="A138" s="89">
        <f t="shared" ref="A138:A201" si="14">YEAR(B138)</f>
        <v>1900</v>
      </c>
    </row>
    <row r="139" spans="1:1" s="428" customFormat="1">
      <c r="A139" s="89">
        <f t="shared" si="14"/>
        <v>1900</v>
      </c>
    </row>
    <row r="140" spans="1:1" s="428" customFormat="1">
      <c r="A140" s="89">
        <f t="shared" si="14"/>
        <v>1900</v>
      </c>
    </row>
    <row r="141" spans="1:1" s="428" customFormat="1">
      <c r="A141" s="89">
        <f t="shared" si="14"/>
        <v>1900</v>
      </c>
    </row>
    <row r="142" spans="1:1" s="428" customFormat="1">
      <c r="A142" s="89">
        <f t="shared" si="14"/>
        <v>1900</v>
      </c>
    </row>
    <row r="143" spans="1:1" s="428" customFormat="1">
      <c r="A143" s="89">
        <f t="shared" si="14"/>
        <v>1900</v>
      </c>
    </row>
    <row r="144" spans="1:1" s="428" customFormat="1">
      <c r="A144" s="89">
        <f t="shared" si="14"/>
        <v>1900</v>
      </c>
    </row>
    <row r="145" spans="1:1" s="428" customFormat="1">
      <c r="A145" s="89">
        <f t="shared" si="14"/>
        <v>1900</v>
      </c>
    </row>
    <row r="146" spans="1:1" s="428" customFormat="1">
      <c r="A146" s="89">
        <f t="shared" si="14"/>
        <v>1900</v>
      </c>
    </row>
    <row r="147" spans="1:1" s="428" customFormat="1">
      <c r="A147" s="89">
        <f t="shared" si="14"/>
        <v>1900</v>
      </c>
    </row>
    <row r="148" spans="1:1" s="428" customFormat="1">
      <c r="A148" s="89">
        <f t="shared" si="14"/>
        <v>1900</v>
      </c>
    </row>
    <row r="149" spans="1:1" s="428" customFormat="1">
      <c r="A149" s="89">
        <f t="shared" si="14"/>
        <v>1900</v>
      </c>
    </row>
    <row r="150" spans="1:1" s="428" customFormat="1">
      <c r="A150" s="89">
        <f t="shared" si="14"/>
        <v>1900</v>
      </c>
    </row>
    <row r="151" spans="1:1" s="428" customFormat="1">
      <c r="A151" s="89">
        <f t="shared" si="14"/>
        <v>1900</v>
      </c>
    </row>
    <row r="152" spans="1:1" s="428" customFormat="1">
      <c r="A152" s="89">
        <f t="shared" si="14"/>
        <v>1900</v>
      </c>
    </row>
    <row r="153" spans="1:1" s="428" customFormat="1">
      <c r="A153" s="89">
        <f t="shared" si="14"/>
        <v>1900</v>
      </c>
    </row>
    <row r="154" spans="1:1" s="428" customFormat="1">
      <c r="A154" s="89">
        <f t="shared" si="14"/>
        <v>1900</v>
      </c>
    </row>
    <row r="155" spans="1:1" s="428" customFormat="1">
      <c r="A155" s="89">
        <f t="shared" si="14"/>
        <v>1900</v>
      </c>
    </row>
    <row r="156" spans="1:1" s="428" customFormat="1">
      <c r="A156" s="89">
        <f t="shared" si="14"/>
        <v>1900</v>
      </c>
    </row>
    <row r="157" spans="1:1" s="428" customFormat="1">
      <c r="A157" s="89">
        <f t="shared" si="14"/>
        <v>1900</v>
      </c>
    </row>
    <row r="158" spans="1:1" s="428" customFormat="1">
      <c r="A158" s="89">
        <f t="shared" si="14"/>
        <v>1900</v>
      </c>
    </row>
    <row r="159" spans="1:1" s="428" customFormat="1">
      <c r="A159" s="89">
        <f t="shared" si="14"/>
        <v>1900</v>
      </c>
    </row>
    <row r="160" spans="1:1" s="428" customFormat="1">
      <c r="A160" s="89">
        <f t="shared" si="14"/>
        <v>1900</v>
      </c>
    </row>
    <row r="161" spans="1:1" s="428" customFormat="1">
      <c r="A161" s="89">
        <f t="shared" si="14"/>
        <v>1900</v>
      </c>
    </row>
    <row r="162" spans="1:1" s="428" customFormat="1">
      <c r="A162" s="89">
        <f t="shared" si="14"/>
        <v>1900</v>
      </c>
    </row>
    <row r="163" spans="1:1" s="428" customFormat="1">
      <c r="A163" s="89">
        <f t="shared" si="14"/>
        <v>1900</v>
      </c>
    </row>
    <row r="164" spans="1:1" s="428" customFormat="1">
      <c r="A164" s="89">
        <f t="shared" si="14"/>
        <v>1900</v>
      </c>
    </row>
    <row r="165" spans="1:1" s="428" customFormat="1">
      <c r="A165" s="89">
        <f t="shared" si="14"/>
        <v>1900</v>
      </c>
    </row>
    <row r="166" spans="1:1" s="428" customFormat="1">
      <c r="A166" s="89">
        <f t="shared" si="14"/>
        <v>1900</v>
      </c>
    </row>
    <row r="167" spans="1:1" s="428" customFormat="1">
      <c r="A167" s="89">
        <f t="shared" si="14"/>
        <v>1900</v>
      </c>
    </row>
    <row r="168" spans="1:1" s="428" customFormat="1">
      <c r="A168" s="89">
        <f t="shared" si="14"/>
        <v>1900</v>
      </c>
    </row>
    <row r="169" spans="1:1" s="428" customFormat="1">
      <c r="A169" s="89">
        <f t="shared" si="14"/>
        <v>1900</v>
      </c>
    </row>
    <row r="170" spans="1:1" s="428" customFormat="1">
      <c r="A170" s="89">
        <f t="shared" si="14"/>
        <v>1900</v>
      </c>
    </row>
    <row r="171" spans="1:1" s="428" customFormat="1">
      <c r="A171" s="89">
        <f t="shared" si="14"/>
        <v>1900</v>
      </c>
    </row>
    <row r="172" spans="1:1" s="428" customFormat="1">
      <c r="A172" s="89">
        <f t="shared" si="14"/>
        <v>1900</v>
      </c>
    </row>
    <row r="173" spans="1:1" s="428" customFormat="1">
      <c r="A173" s="89">
        <f t="shared" si="14"/>
        <v>1900</v>
      </c>
    </row>
    <row r="174" spans="1:1" s="428" customFormat="1">
      <c r="A174" s="89">
        <f t="shared" si="14"/>
        <v>1900</v>
      </c>
    </row>
    <row r="175" spans="1:1" s="428" customFormat="1">
      <c r="A175" s="89">
        <f t="shared" si="14"/>
        <v>1900</v>
      </c>
    </row>
    <row r="176" spans="1:1" s="428" customFormat="1">
      <c r="A176" s="89">
        <f t="shared" si="14"/>
        <v>1900</v>
      </c>
    </row>
    <row r="177" spans="1:1" s="428" customFormat="1">
      <c r="A177" s="89">
        <f t="shared" si="14"/>
        <v>1900</v>
      </c>
    </row>
    <row r="178" spans="1:1" s="428" customFormat="1">
      <c r="A178" s="89">
        <f t="shared" si="14"/>
        <v>1900</v>
      </c>
    </row>
    <row r="179" spans="1:1" s="428" customFormat="1">
      <c r="A179" s="89">
        <f t="shared" si="14"/>
        <v>1900</v>
      </c>
    </row>
    <row r="180" spans="1:1" s="428" customFormat="1">
      <c r="A180" s="89">
        <f t="shared" si="14"/>
        <v>1900</v>
      </c>
    </row>
    <row r="181" spans="1:1" s="428" customFormat="1">
      <c r="A181" s="89">
        <f t="shared" si="14"/>
        <v>1900</v>
      </c>
    </row>
    <row r="182" spans="1:1" s="428" customFormat="1">
      <c r="A182" s="89">
        <f t="shared" si="14"/>
        <v>1900</v>
      </c>
    </row>
    <row r="183" spans="1:1" s="428" customFormat="1">
      <c r="A183" s="89">
        <f t="shared" si="14"/>
        <v>1900</v>
      </c>
    </row>
    <row r="184" spans="1:1" s="428" customFormat="1">
      <c r="A184" s="89">
        <f t="shared" si="14"/>
        <v>1900</v>
      </c>
    </row>
    <row r="185" spans="1:1" s="428" customFormat="1">
      <c r="A185" s="89">
        <f t="shared" si="14"/>
        <v>1900</v>
      </c>
    </row>
    <row r="186" spans="1:1" s="428" customFormat="1">
      <c r="A186" s="89">
        <f t="shared" si="14"/>
        <v>1900</v>
      </c>
    </row>
    <row r="187" spans="1:1" s="428" customFormat="1">
      <c r="A187" s="89">
        <f t="shared" si="14"/>
        <v>1900</v>
      </c>
    </row>
    <row r="188" spans="1:1" s="428" customFormat="1">
      <c r="A188" s="89">
        <f t="shared" si="14"/>
        <v>1900</v>
      </c>
    </row>
    <row r="189" spans="1:1" s="428" customFormat="1">
      <c r="A189" s="89">
        <f t="shared" si="14"/>
        <v>1900</v>
      </c>
    </row>
    <row r="190" spans="1:1" s="428" customFormat="1">
      <c r="A190" s="89">
        <f t="shared" si="14"/>
        <v>1900</v>
      </c>
    </row>
    <row r="191" spans="1:1" s="428" customFormat="1">
      <c r="A191" s="89">
        <f t="shared" si="14"/>
        <v>1900</v>
      </c>
    </row>
    <row r="192" spans="1:1" s="428" customFormat="1">
      <c r="A192" s="89">
        <f t="shared" si="14"/>
        <v>1900</v>
      </c>
    </row>
    <row r="193" spans="1:1" s="428" customFormat="1">
      <c r="A193" s="89">
        <f t="shared" si="14"/>
        <v>1900</v>
      </c>
    </row>
    <row r="194" spans="1:1" s="428" customFormat="1">
      <c r="A194" s="89">
        <f t="shared" si="14"/>
        <v>1900</v>
      </c>
    </row>
    <row r="195" spans="1:1" s="428" customFormat="1">
      <c r="A195" s="89">
        <f t="shared" si="14"/>
        <v>1900</v>
      </c>
    </row>
    <row r="196" spans="1:1" s="428" customFormat="1">
      <c r="A196" s="89">
        <f t="shared" si="14"/>
        <v>1900</v>
      </c>
    </row>
    <row r="197" spans="1:1" s="428" customFormat="1">
      <c r="A197" s="89">
        <f t="shared" si="14"/>
        <v>1900</v>
      </c>
    </row>
    <row r="198" spans="1:1" s="428" customFormat="1">
      <c r="A198" s="89">
        <f t="shared" si="14"/>
        <v>1900</v>
      </c>
    </row>
    <row r="199" spans="1:1" s="428" customFormat="1">
      <c r="A199" s="89">
        <f t="shared" si="14"/>
        <v>1900</v>
      </c>
    </row>
    <row r="200" spans="1:1" s="428" customFormat="1">
      <c r="A200" s="89">
        <f t="shared" si="14"/>
        <v>1900</v>
      </c>
    </row>
    <row r="201" spans="1:1" s="428" customFormat="1">
      <c r="A201" s="89">
        <f t="shared" si="14"/>
        <v>1900</v>
      </c>
    </row>
    <row r="202" spans="1:1" s="428" customFormat="1">
      <c r="A202" s="89">
        <f t="shared" ref="A202:A265" si="15">YEAR(B202)</f>
        <v>1900</v>
      </c>
    </row>
    <row r="203" spans="1:1" s="428" customFormat="1">
      <c r="A203" s="89">
        <f t="shared" si="15"/>
        <v>1900</v>
      </c>
    </row>
    <row r="204" spans="1:1" s="428" customFormat="1">
      <c r="A204" s="89">
        <f t="shared" si="15"/>
        <v>1900</v>
      </c>
    </row>
    <row r="205" spans="1:1" s="428" customFormat="1">
      <c r="A205" s="89">
        <f t="shared" si="15"/>
        <v>1900</v>
      </c>
    </row>
    <row r="206" spans="1:1" s="428" customFormat="1">
      <c r="A206" s="89">
        <f t="shared" si="15"/>
        <v>1900</v>
      </c>
    </row>
    <row r="207" spans="1:1" s="428" customFormat="1">
      <c r="A207" s="89">
        <f t="shared" si="15"/>
        <v>1900</v>
      </c>
    </row>
    <row r="208" spans="1:1" s="428" customFormat="1">
      <c r="A208" s="89">
        <f t="shared" si="15"/>
        <v>1900</v>
      </c>
    </row>
    <row r="209" spans="1:1" s="428" customFormat="1">
      <c r="A209" s="89">
        <f t="shared" si="15"/>
        <v>1900</v>
      </c>
    </row>
    <row r="210" spans="1:1" s="428" customFormat="1">
      <c r="A210" s="89">
        <f t="shared" si="15"/>
        <v>1900</v>
      </c>
    </row>
    <row r="211" spans="1:1" s="428" customFormat="1">
      <c r="A211" s="89">
        <f t="shared" si="15"/>
        <v>1900</v>
      </c>
    </row>
    <row r="212" spans="1:1" s="428" customFormat="1">
      <c r="A212" s="89">
        <f t="shared" si="15"/>
        <v>1900</v>
      </c>
    </row>
    <row r="213" spans="1:1" s="428" customFormat="1">
      <c r="A213" s="89">
        <f t="shared" si="15"/>
        <v>1900</v>
      </c>
    </row>
    <row r="214" spans="1:1" s="428" customFormat="1">
      <c r="A214" s="89">
        <f t="shared" si="15"/>
        <v>1900</v>
      </c>
    </row>
    <row r="215" spans="1:1" s="428" customFormat="1">
      <c r="A215" s="89">
        <f t="shared" si="15"/>
        <v>1900</v>
      </c>
    </row>
    <row r="216" spans="1:1" s="428" customFormat="1">
      <c r="A216" s="89">
        <f t="shared" si="15"/>
        <v>1900</v>
      </c>
    </row>
    <row r="217" spans="1:1" s="428" customFormat="1">
      <c r="A217" s="89">
        <f t="shared" si="15"/>
        <v>1900</v>
      </c>
    </row>
    <row r="218" spans="1:1" s="428" customFormat="1">
      <c r="A218" s="89">
        <f t="shared" si="15"/>
        <v>1900</v>
      </c>
    </row>
    <row r="219" spans="1:1" s="428" customFormat="1">
      <c r="A219" s="89">
        <f t="shared" si="15"/>
        <v>1900</v>
      </c>
    </row>
    <row r="220" spans="1:1" s="428" customFormat="1">
      <c r="A220" s="89">
        <f t="shared" si="15"/>
        <v>1900</v>
      </c>
    </row>
    <row r="221" spans="1:1" s="428" customFormat="1">
      <c r="A221" s="89">
        <f t="shared" si="15"/>
        <v>1900</v>
      </c>
    </row>
    <row r="222" spans="1:1" s="428" customFormat="1">
      <c r="A222" s="89">
        <f t="shared" si="15"/>
        <v>1900</v>
      </c>
    </row>
    <row r="223" spans="1:1" s="428" customFormat="1">
      <c r="A223" s="89">
        <f t="shared" si="15"/>
        <v>1900</v>
      </c>
    </row>
    <row r="224" spans="1:1" s="428" customFormat="1">
      <c r="A224" s="89">
        <f t="shared" si="15"/>
        <v>1900</v>
      </c>
    </row>
    <row r="225" spans="1:1" s="428" customFormat="1">
      <c r="A225" s="89">
        <f t="shared" si="15"/>
        <v>1900</v>
      </c>
    </row>
    <row r="226" spans="1:1" s="428" customFormat="1">
      <c r="A226" s="89">
        <f t="shared" si="15"/>
        <v>1900</v>
      </c>
    </row>
    <row r="227" spans="1:1" s="428" customFormat="1">
      <c r="A227" s="89">
        <f t="shared" si="15"/>
        <v>1900</v>
      </c>
    </row>
    <row r="228" spans="1:1" s="428" customFormat="1">
      <c r="A228" s="89">
        <f t="shared" si="15"/>
        <v>1900</v>
      </c>
    </row>
    <row r="229" spans="1:1" s="428" customFormat="1">
      <c r="A229" s="89">
        <f t="shared" si="15"/>
        <v>1900</v>
      </c>
    </row>
    <row r="230" spans="1:1" s="428" customFormat="1">
      <c r="A230" s="89">
        <f t="shared" si="15"/>
        <v>1900</v>
      </c>
    </row>
    <row r="231" spans="1:1" s="428" customFormat="1">
      <c r="A231" s="89">
        <f t="shared" si="15"/>
        <v>1900</v>
      </c>
    </row>
    <row r="232" spans="1:1" s="428" customFormat="1">
      <c r="A232" s="89">
        <f t="shared" si="15"/>
        <v>1900</v>
      </c>
    </row>
    <row r="233" spans="1:1" s="428" customFormat="1">
      <c r="A233" s="89">
        <f t="shared" si="15"/>
        <v>1900</v>
      </c>
    </row>
    <row r="234" spans="1:1" s="428" customFormat="1">
      <c r="A234" s="89">
        <f t="shared" si="15"/>
        <v>1900</v>
      </c>
    </row>
    <row r="235" spans="1:1" s="428" customFormat="1">
      <c r="A235" s="89">
        <f t="shared" si="15"/>
        <v>1900</v>
      </c>
    </row>
    <row r="236" spans="1:1" s="428" customFormat="1">
      <c r="A236" s="89">
        <f t="shared" si="15"/>
        <v>1900</v>
      </c>
    </row>
    <row r="237" spans="1:1" s="428" customFormat="1">
      <c r="A237" s="89">
        <f t="shared" si="15"/>
        <v>1900</v>
      </c>
    </row>
    <row r="238" spans="1:1" s="428" customFormat="1">
      <c r="A238" s="89">
        <f t="shared" si="15"/>
        <v>1900</v>
      </c>
    </row>
    <row r="239" spans="1:1" s="428" customFormat="1">
      <c r="A239" s="89">
        <f t="shared" si="15"/>
        <v>1900</v>
      </c>
    </row>
    <row r="240" spans="1:1" s="428" customFormat="1">
      <c r="A240" s="89">
        <f t="shared" si="15"/>
        <v>1900</v>
      </c>
    </row>
    <row r="241" spans="1:1" s="428" customFormat="1">
      <c r="A241" s="89">
        <f t="shared" si="15"/>
        <v>1900</v>
      </c>
    </row>
    <row r="242" spans="1:1" s="428" customFormat="1">
      <c r="A242" s="89">
        <f t="shared" si="15"/>
        <v>1900</v>
      </c>
    </row>
    <row r="243" spans="1:1" s="428" customFormat="1">
      <c r="A243" s="89">
        <f t="shared" si="15"/>
        <v>1900</v>
      </c>
    </row>
    <row r="244" spans="1:1" s="428" customFormat="1">
      <c r="A244" s="89">
        <f t="shared" si="15"/>
        <v>1900</v>
      </c>
    </row>
    <row r="245" spans="1:1" s="428" customFormat="1">
      <c r="A245" s="89">
        <f t="shared" si="15"/>
        <v>1900</v>
      </c>
    </row>
    <row r="246" spans="1:1" s="428" customFormat="1">
      <c r="A246" s="89">
        <f t="shared" si="15"/>
        <v>1900</v>
      </c>
    </row>
    <row r="247" spans="1:1" s="428" customFormat="1">
      <c r="A247" s="89">
        <f t="shared" si="15"/>
        <v>1900</v>
      </c>
    </row>
    <row r="248" spans="1:1" s="428" customFormat="1">
      <c r="A248" s="89">
        <f t="shared" si="15"/>
        <v>1900</v>
      </c>
    </row>
    <row r="249" spans="1:1" s="428" customFormat="1">
      <c r="A249" s="89">
        <f t="shared" si="15"/>
        <v>1900</v>
      </c>
    </row>
    <row r="250" spans="1:1" s="428" customFormat="1">
      <c r="A250" s="89">
        <f t="shared" si="15"/>
        <v>1900</v>
      </c>
    </row>
    <row r="251" spans="1:1" s="428" customFormat="1">
      <c r="A251" s="89">
        <f t="shared" si="15"/>
        <v>1900</v>
      </c>
    </row>
    <row r="252" spans="1:1" s="428" customFormat="1">
      <c r="A252" s="89">
        <f t="shared" si="15"/>
        <v>1900</v>
      </c>
    </row>
    <row r="253" spans="1:1" s="428" customFormat="1">
      <c r="A253" s="89">
        <f t="shared" si="15"/>
        <v>1900</v>
      </c>
    </row>
    <row r="254" spans="1:1" s="428" customFormat="1">
      <c r="A254" s="89">
        <f t="shared" si="15"/>
        <v>1900</v>
      </c>
    </row>
    <row r="255" spans="1:1" s="428" customFormat="1">
      <c r="A255" s="89">
        <f t="shared" si="15"/>
        <v>1900</v>
      </c>
    </row>
    <row r="256" spans="1:1" s="428" customFormat="1">
      <c r="A256" s="89">
        <f t="shared" si="15"/>
        <v>1900</v>
      </c>
    </row>
    <row r="257" spans="1:1" s="428" customFormat="1">
      <c r="A257" s="89">
        <f t="shared" si="15"/>
        <v>1900</v>
      </c>
    </row>
    <row r="258" spans="1:1" s="428" customFormat="1">
      <c r="A258" s="89">
        <f t="shared" si="15"/>
        <v>1900</v>
      </c>
    </row>
    <row r="259" spans="1:1" s="428" customFormat="1">
      <c r="A259" s="89">
        <f t="shared" si="15"/>
        <v>1900</v>
      </c>
    </row>
    <row r="260" spans="1:1" s="428" customFormat="1">
      <c r="A260" s="89">
        <f t="shared" si="15"/>
        <v>1900</v>
      </c>
    </row>
    <row r="261" spans="1:1" s="428" customFormat="1">
      <c r="A261" s="89">
        <f t="shared" si="15"/>
        <v>1900</v>
      </c>
    </row>
    <row r="262" spans="1:1" s="428" customFormat="1">
      <c r="A262" s="89">
        <f t="shared" si="15"/>
        <v>1900</v>
      </c>
    </row>
    <row r="263" spans="1:1" s="428" customFormat="1">
      <c r="A263" s="89">
        <f t="shared" si="15"/>
        <v>1900</v>
      </c>
    </row>
    <row r="264" spans="1:1" s="428" customFormat="1">
      <c r="A264" s="89">
        <f t="shared" si="15"/>
        <v>1900</v>
      </c>
    </row>
    <row r="265" spans="1:1" s="428" customFormat="1">
      <c r="A265" s="89">
        <f t="shared" si="15"/>
        <v>1900</v>
      </c>
    </row>
    <row r="266" spans="1:1" s="428" customFormat="1">
      <c r="A266" s="89">
        <f t="shared" ref="A266:A329" si="16">YEAR(B266)</f>
        <v>1900</v>
      </c>
    </row>
    <row r="267" spans="1:1" s="428" customFormat="1">
      <c r="A267" s="89">
        <f t="shared" si="16"/>
        <v>1900</v>
      </c>
    </row>
    <row r="268" spans="1:1" s="428" customFormat="1">
      <c r="A268" s="89">
        <f t="shared" si="16"/>
        <v>1900</v>
      </c>
    </row>
    <row r="269" spans="1:1" s="428" customFormat="1">
      <c r="A269" s="89">
        <f t="shared" si="16"/>
        <v>1900</v>
      </c>
    </row>
    <row r="270" spans="1:1" s="428" customFormat="1">
      <c r="A270" s="89">
        <f t="shared" si="16"/>
        <v>1900</v>
      </c>
    </row>
    <row r="271" spans="1:1" s="428" customFormat="1">
      <c r="A271" s="89">
        <f t="shared" si="16"/>
        <v>1900</v>
      </c>
    </row>
    <row r="272" spans="1:1" s="428" customFormat="1">
      <c r="A272" s="89">
        <f t="shared" si="16"/>
        <v>1900</v>
      </c>
    </row>
    <row r="273" spans="1:1" s="428" customFormat="1">
      <c r="A273" s="89">
        <f t="shared" si="16"/>
        <v>1900</v>
      </c>
    </row>
    <row r="274" spans="1:1" s="428" customFormat="1">
      <c r="A274" s="89">
        <f t="shared" si="16"/>
        <v>1900</v>
      </c>
    </row>
    <row r="275" spans="1:1" s="428" customFormat="1">
      <c r="A275" s="89">
        <f t="shared" si="16"/>
        <v>1900</v>
      </c>
    </row>
    <row r="276" spans="1:1" s="428" customFormat="1">
      <c r="A276" s="89">
        <f t="shared" si="16"/>
        <v>1900</v>
      </c>
    </row>
    <row r="277" spans="1:1" s="428" customFormat="1">
      <c r="A277" s="89">
        <f t="shared" si="16"/>
        <v>1900</v>
      </c>
    </row>
    <row r="278" spans="1:1" s="428" customFormat="1">
      <c r="A278" s="89">
        <f t="shared" si="16"/>
        <v>1900</v>
      </c>
    </row>
    <row r="279" spans="1:1" s="428" customFormat="1">
      <c r="A279" s="89">
        <f t="shared" si="16"/>
        <v>1900</v>
      </c>
    </row>
    <row r="280" spans="1:1" s="428" customFormat="1">
      <c r="A280" s="89">
        <f t="shared" si="16"/>
        <v>1900</v>
      </c>
    </row>
    <row r="281" spans="1:1" s="428" customFormat="1">
      <c r="A281" s="89">
        <f t="shared" si="16"/>
        <v>1900</v>
      </c>
    </row>
    <row r="282" spans="1:1" s="428" customFormat="1">
      <c r="A282" s="89">
        <f t="shared" si="16"/>
        <v>1900</v>
      </c>
    </row>
    <row r="283" spans="1:1" s="428" customFormat="1">
      <c r="A283" s="89">
        <f t="shared" si="16"/>
        <v>1900</v>
      </c>
    </row>
    <row r="284" spans="1:1" s="428" customFormat="1">
      <c r="A284" s="89">
        <f t="shared" si="16"/>
        <v>1900</v>
      </c>
    </row>
    <row r="285" spans="1:1" s="428" customFormat="1">
      <c r="A285" s="89">
        <f t="shared" si="16"/>
        <v>1900</v>
      </c>
    </row>
    <row r="286" spans="1:1" s="428" customFormat="1">
      <c r="A286" s="89">
        <f t="shared" si="16"/>
        <v>1900</v>
      </c>
    </row>
    <row r="287" spans="1:1" s="428" customFormat="1">
      <c r="A287" s="89">
        <f t="shared" si="16"/>
        <v>1900</v>
      </c>
    </row>
    <row r="288" spans="1:1" s="428" customFormat="1">
      <c r="A288" s="89">
        <f t="shared" si="16"/>
        <v>1900</v>
      </c>
    </row>
    <row r="289" spans="1:1" s="428" customFormat="1">
      <c r="A289" s="89">
        <f t="shared" si="16"/>
        <v>1900</v>
      </c>
    </row>
    <row r="290" spans="1:1" s="428" customFormat="1">
      <c r="A290" s="89">
        <f t="shared" si="16"/>
        <v>1900</v>
      </c>
    </row>
    <row r="291" spans="1:1" s="428" customFormat="1">
      <c r="A291" s="89">
        <f t="shared" si="16"/>
        <v>1900</v>
      </c>
    </row>
    <row r="292" spans="1:1" s="428" customFormat="1">
      <c r="A292" s="89">
        <f t="shared" si="16"/>
        <v>1900</v>
      </c>
    </row>
    <row r="293" spans="1:1" s="428" customFormat="1">
      <c r="A293" s="89">
        <f t="shared" si="16"/>
        <v>1900</v>
      </c>
    </row>
    <row r="294" spans="1:1" s="428" customFormat="1">
      <c r="A294" s="89">
        <f t="shared" si="16"/>
        <v>1900</v>
      </c>
    </row>
    <row r="295" spans="1:1" s="428" customFormat="1">
      <c r="A295" s="89">
        <f t="shared" si="16"/>
        <v>1900</v>
      </c>
    </row>
    <row r="296" spans="1:1" s="428" customFormat="1">
      <c r="A296" s="89">
        <f t="shared" si="16"/>
        <v>1900</v>
      </c>
    </row>
    <row r="297" spans="1:1" s="428" customFormat="1">
      <c r="A297" s="89">
        <f t="shared" si="16"/>
        <v>1900</v>
      </c>
    </row>
    <row r="298" spans="1:1" s="428" customFormat="1">
      <c r="A298" s="89">
        <f t="shared" si="16"/>
        <v>1900</v>
      </c>
    </row>
    <row r="299" spans="1:1" s="428" customFormat="1">
      <c r="A299" s="89">
        <f t="shared" si="16"/>
        <v>1900</v>
      </c>
    </row>
    <row r="300" spans="1:1" s="428" customFormat="1">
      <c r="A300" s="89">
        <f t="shared" si="16"/>
        <v>1900</v>
      </c>
    </row>
    <row r="301" spans="1:1" s="428" customFormat="1">
      <c r="A301" s="89">
        <f t="shared" si="16"/>
        <v>1900</v>
      </c>
    </row>
    <row r="302" spans="1:1" s="428" customFormat="1">
      <c r="A302" s="89">
        <f t="shared" si="16"/>
        <v>1900</v>
      </c>
    </row>
    <row r="303" spans="1:1" s="428" customFormat="1">
      <c r="A303" s="89">
        <f t="shared" si="16"/>
        <v>1900</v>
      </c>
    </row>
    <row r="304" spans="1:1" s="428" customFormat="1">
      <c r="A304" s="89">
        <f t="shared" si="16"/>
        <v>1900</v>
      </c>
    </row>
    <row r="305" spans="1:1" s="428" customFormat="1">
      <c r="A305" s="89">
        <f t="shared" si="16"/>
        <v>1900</v>
      </c>
    </row>
    <row r="306" spans="1:1" s="428" customFormat="1">
      <c r="A306" s="89">
        <f t="shared" si="16"/>
        <v>1900</v>
      </c>
    </row>
    <row r="307" spans="1:1" s="428" customFormat="1">
      <c r="A307" s="89">
        <f t="shared" si="16"/>
        <v>1900</v>
      </c>
    </row>
    <row r="308" spans="1:1" s="428" customFormat="1">
      <c r="A308" s="89">
        <f t="shared" si="16"/>
        <v>1900</v>
      </c>
    </row>
    <row r="309" spans="1:1" s="428" customFormat="1">
      <c r="A309" s="89">
        <f t="shared" si="16"/>
        <v>1900</v>
      </c>
    </row>
    <row r="310" spans="1:1" s="428" customFormat="1">
      <c r="A310" s="89">
        <f t="shared" si="16"/>
        <v>1900</v>
      </c>
    </row>
    <row r="311" spans="1:1" s="428" customFormat="1">
      <c r="A311" s="89">
        <f t="shared" si="16"/>
        <v>1900</v>
      </c>
    </row>
    <row r="312" spans="1:1" s="428" customFormat="1">
      <c r="A312" s="89">
        <f t="shared" si="16"/>
        <v>1900</v>
      </c>
    </row>
    <row r="313" spans="1:1" s="428" customFormat="1">
      <c r="A313" s="89">
        <f t="shared" si="16"/>
        <v>1900</v>
      </c>
    </row>
    <row r="314" spans="1:1" s="428" customFormat="1">
      <c r="A314" s="89">
        <f t="shared" si="16"/>
        <v>1900</v>
      </c>
    </row>
    <row r="315" spans="1:1" s="428" customFormat="1">
      <c r="A315" s="89">
        <f t="shared" si="16"/>
        <v>1900</v>
      </c>
    </row>
    <row r="316" spans="1:1" s="428" customFormat="1">
      <c r="A316" s="89">
        <f t="shared" si="16"/>
        <v>1900</v>
      </c>
    </row>
    <row r="317" spans="1:1" s="428" customFormat="1">
      <c r="A317" s="89">
        <f t="shared" si="16"/>
        <v>1900</v>
      </c>
    </row>
    <row r="318" spans="1:1" s="428" customFormat="1">
      <c r="A318" s="89">
        <f t="shared" si="16"/>
        <v>1900</v>
      </c>
    </row>
    <row r="319" spans="1:1" s="428" customFormat="1">
      <c r="A319" s="89">
        <f t="shared" si="16"/>
        <v>1900</v>
      </c>
    </row>
    <row r="320" spans="1:1" s="428" customFormat="1">
      <c r="A320" s="89">
        <f t="shared" si="16"/>
        <v>1900</v>
      </c>
    </row>
    <row r="321" spans="1:1" s="428" customFormat="1">
      <c r="A321" s="89">
        <f t="shared" si="16"/>
        <v>1900</v>
      </c>
    </row>
    <row r="322" spans="1:1" s="428" customFormat="1">
      <c r="A322" s="89">
        <f t="shared" si="16"/>
        <v>1900</v>
      </c>
    </row>
    <row r="323" spans="1:1" s="428" customFormat="1">
      <c r="A323" s="89">
        <f t="shared" si="16"/>
        <v>1900</v>
      </c>
    </row>
    <row r="324" spans="1:1" s="428" customFormat="1">
      <c r="A324" s="89">
        <f t="shared" si="16"/>
        <v>1900</v>
      </c>
    </row>
    <row r="325" spans="1:1" s="428" customFormat="1">
      <c r="A325" s="89">
        <f t="shared" si="16"/>
        <v>1900</v>
      </c>
    </row>
    <row r="326" spans="1:1" s="428" customFormat="1">
      <c r="A326" s="89">
        <f t="shared" si="16"/>
        <v>1900</v>
      </c>
    </row>
    <row r="327" spans="1:1" s="428" customFormat="1">
      <c r="A327" s="89">
        <f t="shared" si="16"/>
        <v>1900</v>
      </c>
    </row>
    <row r="328" spans="1:1" s="428" customFormat="1">
      <c r="A328" s="89">
        <f t="shared" si="16"/>
        <v>1900</v>
      </c>
    </row>
    <row r="329" spans="1:1" s="428" customFormat="1">
      <c r="A329" s="89">
        <f t="shared" si="16"/>
        <v>1900</v>
      </c>
    </row>
    <row r="330" spans="1:1" s="428" customFormat="1">
      <c r="A330" s="89">
        <f t="shared" ref="A330:A393" si="17">YEAR(B330)</f>
        <v>1900</v>
      </c>
    </row>
    <row r="331" spans="1:1" s="428" customFormat="1">
      <c r="A331" s="89">
        <f t="shared" si="17"/>
        <v>1900</v>
      </c>
    </row>
    <row r="332" spans="1:1" s="428" customFormat="1">
      <c r="A332" s="89">
        <f t="shared" si="17"/>
        <v>1900</v>
      </c>
    </row>
    <row r="333" spans="1:1" s="428" customFormat="1">
      <c r="A333" s="89">
        <f t="shared" si="17"/>
        <v>1900</v>
      </c>
    </row>
    <row r="334" spans="1:1" s="428" customFormat="1">
      <c r="A334" s="89">
        <f t="shared" si="17"/>
        <v>1900</v>
      </c>
    </row>
    <row r="335" spans="1:1" s="428" customFormat="1">
      <c r="A335" s="89">
        <f t="shared" si="17"/>
        <v>1900</v>
      </c>
    </row>
    <row r="336" spans="1:1" s="428" customFormat="1">
      <c r="A336" s="89">
        <f t="shared" si="17"/>
        <v>1900</v>
      </c>
    </row>
    <row r="337" spans="1:1" s="428" customFormat="1">
      <c r="A337" s="89">
        <f t="shared" si="17"/>
        <v>1900</v>
      </c>
    </row>
    <row r="338" spans="1:1" s="428" customFormat="1">
      <c r="A338" s="89">
        <f t="shared" si="17"/>
        <v>1900</v>
      </c>
    </row>
    <row r="339" spans="1:1" s="428" customFormat="1">
      <c r="A339" s="89">
        <f t="shared" si="17"/>
        <v>1900</v>
      </c>
    </row>
    <row r="340" spans="1:1" s="428" customFormat="1">
      <c r="A340" s="89">
        <f t="shared" si="17"/>
        <v>1900</v>
      </c>
    </row>
    <row r="341" spans="1:1" s="428" customFormat="1">
      <c r="A341" s="89">
        <f t="shared" si="17"/>
        <v>1900</v>
      </c>
    </row>
    <row r="342" spans="1:1" s="428" customFormat="1">
      <c r="A342" s="89">
        <f t="shared" si="17"/>
        <v>1900</v>
      </c>
    </row>
    <row r="343" spans="1:1" s="428" customFormat="1">
      <c r="A343" s="89">
        <f t="shared" si="17"/>
        <v>1900</v>
      </c>
    </row>
    <row r="344" spans="1:1" s="428" customFormat="1">
      <c r="A344" s="89">
        <f t="shared" si="17"/>
        <v>1900</v>
      </c>
    </row>
    <row r="345" spans="1:1" s="428" customFormat="1">
      <c r="A345" s="89">
        <f t="shared" si="17"/>
        <v>1900</v>
      </c>
    </row>
    <row r="346" spans="1:1" s="428" customFormat="1">
      <c r="A346" s="89">
        <f t="shared" si="17"/>
        <v>1900</v>
      </c>
    </row>
    <row r="347" spans="1:1" s="428" customFormat="1">
      <c r="A347" s="89">
        <f t="shared" si="17"/>
        <v>1900</v>
      </c>
    </row>
    <row r="348" spans="1:1" s="428" customFormat="1">
      <c r="A348" s="89">
        <f t="shared" si="17"/>
        <v>1900</v>
      </c>
    </row>
    <row r="349" spans="1:1" s="428" customFormat="1">
      <c r="A349" s="89">
        <f t="shared" si="17"/>
        <v>1900</v>
      </c>
    </row>
    <row r="350" spans="1:1" s="428" customFormat="1">
      <c r="A350" s="89">
        <f t="shared" si="17"/>
        <v>1900</v>
      </c>
    </row>
    <row r="351" spans="1:1" s="428" customFormat="1">
      <c r="A351" s="89">
        <f t="shared" si="17"/>
        <v>1900</v>
      </c>
    </row>
    <row r="352" spans="1:1" s="428" customFormat="1">
      <c r="A352" s="89">
        <f t="shared" si="17"/>
        <v>1900</v>
      </c>
    </row>
    <row r="353" spans="1:1" s="428" customFormat="1">
      <c r="A353" s="89">
        <f t="shared" si="17"/>
        <v>1900</v>
      </c>
    </row>
    <row r="354" spans="1:1" s="428" customFormat="1">
      <c r="A354" s="89">
        <f t="shared" si="17"/>
        <v>1900</v>
      </c>
    </row>
    <row r="355" spans="1:1" s="428" customFormat="1">
      <c r="A355" s="89">
        <f t="shared" si="17"/>
        <v>1900</v>
      </c>
    </row>
    <row r="356" spans="1:1" s="428" customFormat="1">
      <c r="A356" s="89">
        <f t="shared" si="17"/>
        <v>1900</v>
      </c>
    </row>
    <row r="357" spans="1:1" s="428" customFormat="1">
      <c r="A357" s="89">
        <f t="shared" si="17"/>
        <v>1900</v>
      </c>
    </row>
    <row r="358" spans="1:1" s="428" customFormat="1">
      <c r="A358" s="89">
        <f t="shared" si="17"/>
        <v>1900</v>
      </c>
    </row>
    <row r="359" spans="1:1" s="428" customFormat="1">
      <c r="A359" s="89">
        <f t="shared" si="17"/>
        <v>1900</v>
      </c>
    </row>
    <row r="360" spans="1:1" s="428" customFormat="1">
      <c r="A360" s="89">
        <f t="shared" si="17"/>
        <v>1900</v>
      </c>
    </row>
    <row r="361" spans="1:1" s="428" customFormat="1">
      <c r="A361" s="89">
        <f t="shared" si="17"/>
        <v>1900</v>
      </c>
    </row>
    <row r="362" spans="1:1" s="428" customFormat="1">
      <c r="A362" s="89">
        <f t="shared" si="17"/>
        <v>1900</v>
      </c>
    </row>
    <row r="363" spans="1:1" s="428" customFormat="1">
      <c r="A363" s="89">
        <f t="shared" si="17"/>
        <v>1900</v>
      </c>
    </row>
    <row r="364" spans="1:1" s="428" customFormat="1">
      <c r="A364" s="89">
        <f t="shared" si="17"/>
        <v>1900</v>
      </c>
    </row>
    <row r="365" spans="1:1" s="428" customFormat="1">
      <c r="A365" s="89">
        <f t="shared" si="17"/>
        <v>1900</v>
      </c>
    </row>
    <row r="366" spans="1:1" s="428" customFormat="1">
      <c r="A366" s="89">
        <f t="shared" si="17"/>
        <v>1900</v>
      </c>
    </row>
    <row r="367" spans="1:1" s="428" customFormat="1">
      <c r="A367" s="89">
        <f t="shared" si="17"/>
        <v>1900</v>
      </c>
    </row>
    <row r="368" spans="1:1" s="428" customFormat="1">
      <c r="A368" s="89">
        <f t="shared" si="17"/>
        <v>1900</v>
      </c>
    </row>
    <row r="369" spans="1:1" s="428" customFormat="1">
      <c r="A369" s="89">
        <f t="shared" si="17"/>
        <v>1900</v>
      </c>
    </row>
    <row r="370" spans="1:1" s="428" customFormat="1">
      <c r="A370" s="89">
        <f t="shared" si="17"/>
        <v>1900</v>
      </c>
    </row>
    <row r="371" spans="1:1" s="428" customFormat="1">
      <c r="A371" s="89">
        <f t="shared" si="17"/>
        <v>1900</v>
      </c>
    </row>
    <row r="372" spans="1:1" s="428" customFormat="1">
      <c r="A372" s="89">
        <f t="shared" si="17"/>
        <v>1900</v>
      </c>
    </row>
    <row r="373" spans="1:1" s="428" customFormat="1">
      <c r="A373" s="89">
        <f t="shared" si="17"/>
        <v>1900</v>
      </c>
    </row>
    <row r="374" spans="1:1" s="428" customFormat="1">
      <c r="A374" s="89">
        <f t="shared" si="17"/>
        <v>1900</v>
      </c>
    </row>
    <row r="375" spans="1:1" s="428" customFormat="1">
      <c r="A375" s="89">
        <f t="shared" si="17"/>
        <v>1900</v>
      </c>
    </row>
    <row r="376" spans="1:1" s="428" customFormat="1">
      <c r="A376" s="89">
        <f t="shared" si="17"/>
        <v>1900</v>
      </c>
    </row>
    <row r="377" spans="1:1" s="428" customFormat="1">
      <c r="A377" s="89">
        <f t="shared" si="17"/>
        <v>1900</v>
      </c>
    </row>
    <row r="378" spans="1:1" s="428" customFormat="1">
      <c r="A378" s="89">
        <f t="shared" si="17"/>
        <v>1900</v>
      </c>
    </row>
    <row r="379" spans="1:1" s="428" customFormat="1">
      <c r="A379" s="89">
        <f t="shared" si="17"/>
        <v>1900</v>
      </c>
    </row>
    <row r="380" spans="1:1" s="428" customFormat="1">
      <c r="A380" s="89">
        <f t="shared" si="17"/>
        <v>1900</v>
      </c>
    </row>
    <row r="381" spans="1:1" s="428" customFormat="1">
      <c r="A381" s="89">
        <f t="shared" si="17"/>
        <v>1900</v>
      </c>
    </row>
    <row r="382" spans="1:1" s="428" customFormat="1">
      <c r="A382" s="89">
        <f t="shared" si="17"/>
        <v>1900</v>
      </c>
    </row>
    <row r="383" spans="1:1" s="428" customFormat="1">
      <c r="A383" s="89">
        <f t="shared" si="17"/>
        <v>1900</v>
      </c>
    </row>
    <row r="384" spans="1:1" s="428" customFormat="1">
      <c r="A384" s="89">
        <f t="shared" si="17"/>
        <v>1900</v>
      </c>
    </row>
    <row r="385" spans="1:1" s="428" customFormat="1">
      <c r="A385" s="89">
        <f t="shared" si="17"/>
        <v>1900</v>
      </c>
    </row>
    <row r="386" spans="1:1" s="428" customFormat="1">
      <c r="A386" s="89">
        <f t="shared" si="17"/>
        <v>1900</v>
      </c>
    </row>
    <row r="387" spans="1:1" s="428" customFormat="1">
      <c r="A387" s="89">
        <f t="shared" si="17"/>
        <v>1900</v>
      </c>
    </row>
    <row r="388" spans="1:1" s="428" customFormat="1">
      <c r="A388" s="89">
        <f t="shared" si="17"/>
        <v>1900</v>
      </c>
    </row>
    <row r="389" spans="1:1" s="428" customFormat="1">
      <c r="A389" s="89">
        <f t="shared" si="17"/>
        <v>1900</v>
      </c>
    </row>
    <row r="390" spans="1:1" s="428" customFormat="1">
      <c r="A390" s="89">
        <f t="shared" si="17"/>
        <v>1900</v>
      </c>
    </row>
    <row r="391" spans="1:1" s="428" customFormat="1">
      <c r="A391" s="89">
        <f t="shared" si="17"/>
        <v>1900</v>
      </c>
    </row>
    <row r="392" spans="1:1" s="428" customFormat="1">
      <c r="A392" s="89">
        <f t="shared" si="17"/>
        <v>1900</v>
      </c>
    </row>
    <row r="393" spans="1:1" s="428" customFormat="1">
      <c r="A393" s="89">
        <f t="shared" si="17"/>
        <v>1900</v>
      </c>
    </row>
    <row r="394" spans="1:1" s="428" customFormat="1">
      <c r="A394" s="89">
        <f t="shared" ref="A394:A457" si="18">YEAR(B394)</f>
        <v>1900</v>
      </c>
    </row>
    <row r="395" spans="1:1" s="428" customFormat="1">
      <c r="A395" s="89">
        <f t="shared" si="18"/>
        <v>1900</v>
      </c>
    </row>
    <row r="396" spans="1:1" s="428" customFormat="1">
      <c r="A396" s="89">
        <f t="shared" si="18"/>
        <v>1900</v>
      </c>
    </row>
    <row r="397" spans="1:1" s="428" customFormat="1">
      <c r="A397" s="89">
        <f t="shared" si="18"/>
        <v>1900</v>
      </c>
    </row>
    <row r="398" spans="1:1" s="428" customFormat="1">
      <c r="A398" s="89">
        <f t="shared" si="18"/>
        <v>1900</v>
      </c>
    </row>
    <row r="399" spans="1:1" s="428" customFormat="1">
      <c r="A399" s="89">
        <f t="shared" si="18"/>
        <v>1900</v>
      </c>
    </row>
    <row r="400" spans="1:1" s="428" customFormat="1">
      <c r="A400" s="89">
        <f t="shared" si="18"/>
        <v>1900</v>
      </c>
    </row>
    <row r="401" spans="1:1" s="428" customFormat="1">
      <c r="A401" s="89">
        <f t="shared" si="18"/>
        <v>1900</v>
      </c>
    </row>
    <row r="402" spans="1:1" s="428" customFormat="1">
      <c r="A402" s="89">
        <f t="shared" si="18"/>
        <v>1900</v>
      </c>
    </row>
    <row r="403" spans="1:1" s="428" customFormat="1">
      <c r="A403" s="89">
        <f t="shared" si="18"/>
        <v>1900</v>
      </c>
    </row>
    <row r="404" spans="1:1" s="428" customFormat="1">
      <c r="A404" s="89">
        <f t="shared" si="18"/>
        <v>1900</v>
      </c>
    </row>
    <row r="405" spans="1:1" s="428" customFormat="1">
      <c r="A405" s="89">
        <f t="shared" si="18"/>
        <v>1900</v>
      </c>
    </row>
    <row r="406" spans="1:1" s="428" customFormat="1">
      <c r="A406" s="89">
        <f t="shared" si="18"/>
        <v>1900</v>
      </c>
    </row>
    <row r="407" spans="1:1" s="428" customFormat="1">
      <c r="A407" s="89">
        <f t="shared" si="18"/>
        <v>1900</v>
      </c>
    </row>
    <row r="408" spans="1:1" s="428" customFormat="1">
      <c r="A408" s="89">
        <f t="shared" si="18"/>
        <v>1900</v>
      </c>
    </row>
    <row r="409" spans="1:1" s="428" customFormat="1">
      <c r="A409" s="89">
        <f t="shared" si="18"/>
        <v>1900</v>
      </c>
    </row>
    <row r="410" spans="1:1" s="428" customFormat="1">
      <c r="A410" s="89">
        <f t="shared" si="18"/>
        <v>1900</v>
      </c>
    </row>
    <row r="411" spans="1:1" s="428" customFormat="1">
      <c r="A411" s="89">
        <f t="shared" si="18"/>
        <v>1900</v>
      </c>
    </row>
    <row r="412" spans="1:1" s="428" customFormat="1">
      <c r="A412" s="89">
        <f t="shared" si="18"/>
        <v>1900</v>
      </c>
    </row>
    <row r="413" spans="1:1" s="428" customFormat="1">
      <c r="A413" s="89">
        <f t="shared" si="18"/>
        <v>1900</v>
      </c>
    </row>
    <row r="414" spans="1:1" s="428" customFormat="1">
      <c r="A414" s="89">
        <f t="shared" si="18"/>
        <v>1900</v>
      </c>
    </row>
    <row r="415" spans="1:1" s="428" customFormat="1">
      <c r="A415" s="89">
        <f t="shared" si="18"/>
        <v>1900</v>
      </c>
    </row>
    <row r="416" spans="1:1" s="428" customFormat="1">
      <c r="A416" s="89">
        <f t="shared" si="18"/>
        <v>1900</v>
      </c>
    </row>
    <row r="417" spans="1:1" s="428" customFormat="1">
      <c r="A417" s="89">
        <f t="shared" si="18"/>
        <v>1900</v>
      </c>
    </row>
    <row r="418" spans="1:1" s="428" customFormat="1">
      <c r="A418" s="89">
        <f t="shared" si="18"/>
        <v>1900</v>
      </c>
    </row>
    <row r="419" spans="1:1" s="428" customFormat="1">
      <c r="A419" s="89">
        <f t="shared" si="18"/>
        <v>1900</v>
      </c>
    </row>
    <row r="420" spans="1:1" s="428" customFormat="1">
      <c r="A420" s="89">
        <f t="shared" si="18"/>
        <v>1900</v>
      </c>
    </row>
    <row r="421" spans="1:1" s="428" customFormat="1">
      <c r="A421" s="89">
        <f t="shared" si="18"/>
        <v>1900</v>
      </c>
    </row>
    <row r="422" spans="1:1" s="428" customFormat="1">
      <c r="A422" s="89">
        <f t="shared" si="18"/>
        <v>1900</v>
      </c>
    </row>
    <row r="423" spans="1:1" s="428" customFormat="1">
      <c r="A423" s="89">
        <f t="shared" si="18"/>
        <v>1900</v>
      </c>
    </row>
    <row r="424" spans="1:1" s="428" customFormat="1">
      <c r="A424" s="89">
        <f t="shared" si="18"/>
        <v>1900</v>
      </c>
    </row>
    <row r="425" spans="1:1" s="428" customFormat="1">
      <c r="A425" s="89">
        <f t="shared" si="18"/>
        <v>1900</v>
      </c>
    </row>
    <row r="426" spans="1:1" s="428" customFormat="1">
      <c r="A426" s="89">
        <f t="shared" si="18"/>
        <v>1900</v>
      </c>
    </row>
    <row r="427" spans="1:1" s="428" customFormat="1">
      <c r="A427" s="89">
        <f t="shared" si="18"/>
        <v>1900</v>
      </c>
    </row>
    <row r="428" spans="1:1" s="428" customFormat="1">
      <c r="A428" s="89">
        <f t="shared" si="18"/>
        <v>1900</v>
      </c>
    </row>
    <row r="429" spans="1:1" s="428" customFormat="1">
      <c r="A429" s="89">
        <f t="shared" si="18"/>
        <v>1900</v>
      </c>
    </row>
    <row r="430" spans="1:1" s="428" customFormat="1">
      <c r="A430" s="89">
        <f t="shared" si="18"/>
        <v>1900</v>
      </c>
    </row>
    <row r="431" spans="1:1" s="428" customFormat="1">
      <c r="A431" s="89">
        <f t="shared" si="18"/>
        <v>1900</v>
      </c>
    </row>
    <row r="432" spans="1:1" s="428" customFormat="1">
      <c r="A432" s="89">
        <f t="shared" si="18"/>
        <v>1900</v>
      </c>
    </row>
    <row r="433" spans="1:1" s="428" customFormat="1">
      <c r="A433" s="89">
        <f t="shared" si="18"/>
        <v>1900</v>
      </c>
    </row>
    <row r="434" spans="1:1" s="428" customFormat="1">
      <c r="A434" s="89">
        <f t="shared" si="18"/>
        <v>1900</v>
      </c>
    </row>
    <row r="435" spans="1:1" s="428" customFormat="1">
      <c r="A435" s="89">
        <f t="shared" si="18"/>
        <v>1900</v>
      </c>
    </row>
    <row r="436" spans="1:1" s="428" customFormat="1">
      <c r="A436" s="89">
        <f t="shared" si="18"/>
        <v>1900</v>
      </c>
    </row>
    <row r="437" spans="1:1" s="428" customFormat="1">
      <c r="A437" s="89">
        <f t="shared" si="18"/>
        <v>1900</v>
      </c>
    </row>
    <row r="438" spans="1:1" s="428" customFormat="1">
      <c r="A438" s="89">
        <f t="shared" si="18"/>
        <v>1900</v>
      </c>
    </row>
    <row r="439" spans="1:1" s="428" customFormat="1">
      <c r="A439" s="89">
        <f t="shared" si="18"/>
        <v>1900</v>
      </c>
    </row>
    <row r="440" spans="1:1" s="428" customFormat="1">
      <c r="A440" s="89">
        <f t="shared" si="18"/>
        <v>1900</v>
      </c>
    </row>
    <row r="441" spans="1:1" s="428" customFormat="1">
      <c r="A441" s="89">
        <f t="shared" si="18"/>
        <v>1900</v>
      </c>
    </row>
    <row r="442" spans="1:1" s="428" customFormat="1">
      <c r="A442" s="89">
        <f t="shared" si="18"/>
        <v>1900</v>
      </c>
    </row>
    <row r="443" spans="1:1" s="428" customFormat="1">
      <c r="A443" s="89">
        <f t="shared" si="18"/>
        <v>1900</v>
      </c>
    </row>
    <row r="444" spans="1:1" s="428" customFormat="1">
      <c r="A444" s="89">
        <f t="shared" si="18"/>
        <v>1900</v>
      </c>
    </row>
    <row r="445" spans="1:1" s="428" customFormat="1">
      <c r="A445" s="89">
        <f t="shared" si="18"/>
        <v>1900</v>
      </c>
    </row>
    <row r="446" spans="1:1" s="428" customFormat="1">
      <c r="A446" s="89">
        <f t="shared" si="18"/>
        <v>1900</v>
      </c>
    </row>
    <row r="447" spans="1:1" s="428" customFormat="1">
      <c r="A447" s="89">
        <f t="shared" si="18"/>
        <v>1900</v>
      </c>
    </row>
    <row r="448" spans="1:1" s="428" customFormat="1">
      <c r="A448" s="89">
        <f t="shared" si="18"/>
        <v>1900</v>
      </c>
    </row>
    <row r="449" spans="1:1" s="428" customFormat="1">
      <c r="A449" s="89">
        <f t="shared" si="18"/>
        <v>1900</v>
      </c>
    </row>
    <row r="450" spans="1:1" s="428" customFormat="1">
      <c r="A450" s="89">
        <f t="shared" si="18"/>
        <v>1900</v>
      </c>
    </row>
    <row r="451" spans="1:1" s="428" customFormat="1">
      <c r="A451" s="89">
        <f t="shared" si="18"/>
        <v>1900</v>
      </c>
    </row>
    <row r="452" spans="1:1" s="428" customFormat="1">
      <c r="A452" s="89">
        <f t="shared" si="18"/>
        <v>1900</v>
      </c>
    </row>
    <row r="453" spans="1:1" s="428" customFormat="1">
      <c r="A453" s="89">
        <f t="shared" si="18"/>
        <v>1900</v>
      </c>
    </row>
    <row r="454" spans="1:1" s="428" customFormat="1">
      <c r="A454" s="89">
        <f t="shared" si="18"/>
        <v>1900</v>
      </c>
    </row>
    <row r="455" spans="1:1" s="428" customFormat="1">
      <c r="A455" s="89">
        <f t="shared" si="18"/>
        <v>1900</v>
      </c>
    </row>
    <row r="456" spans="1:1" s="428" customFormat="1">
      <c r="A456" s="89">
        <f t="shared" si="18"/>
        <v>1900</v>
      </c>
    </row>
    <row r="457" spans="1:1" s="428" customFormat="1">
      <c r="A457" s="89">
        <f t="shared" si="18"/>
        <v>1900</v>
      </c>
    </row>
    <row r="458" spans="1:1" s="428" customFormat="1">
      <c r="A458" s="89">
        <f t="shared" ref="A458:A509" si="19">YEAR(B458)</f>
        <v>1900</v>
      </c>
    </row>
    <row r="459" spans="1:1" s="428" customFormat="1">
      <c r="A459" s="89">
        <f t="shared" si="19"/>
        <v>1900</v>
      </c>
    </row>
    <row r="460" spans="1:1" s="428" customFormat="1">
      <c r="A460" s="89">
        <f t="shared" si="19"/>
        <v>1900</v>
      </c>
    </row>
    <row r="461" spans="1:1" s="428" customFormat="1">
      <c r="A461" s="89">
        <f t="shared" si="19"/>
        <v>1900</v>
      </c>
    </row>
    <row r="462" spans="1:1" s="428" customFormat="1">
      <c r="A462" s="89">
        <f t="shared" si="19"/>
        <v>1900</v>
      </c>
    </row>
    <row r="463" spans="1:1" s="428" customFormat="1">
      <c r="A463" s="89">
        <f t="shared" si="19"/>
        <v>1900</v>
      </c>
    </row>
    <row r="464" spans="1:1" s="428" customFormat="1">
      <c r="A464" s="89">
        <f t="shared" si="19"/>
        <v>1900</v>
      </c>
    </row>
    <row r="465" spans="1:1" s="428" customFormat="1">
      <c r="A465" s="89">
        <f t="shared" si="19"/>
        <v>1900</v>
      </c>
    </row>
    <row r="466" spans="1:1" s="428" customFormat="1">
      <c r="A466" s="89">
        <f t="shared" si="19"/>
        <v>1900</v>
      </c>
    </row>
    <row r="467" spans="1:1" s="428" customFormat="1">
      <c r="A467" s="89">
        <f t="shared" si="19"/>
        <v>1900</v>
      </c>
    </row>
    <row r="468" spans="1:1" s="428" customFormat="1">
      <c r="A468" s="89">
        <f t="shared" si="19"/>
        <v>1900</v>
      </c>
    </row>
    <row r="469" spans="1:1" s="428" customFormat="1">
      <c r="A469" s="89">
        <f t="shared" si="19"/>
        <v>1900</v>
      </c>
    </row>
    <row r="470" spans="1:1" s="428" customFormat="1">
      <c r="A470" s="89">
        <f t="shared" si="19"/>
        <v>1900</v>
      </c>
    </row>
    <row r="471" spans="1:1" s="428" customFormat="1">
      <c r="A471" s="89">
        <f t="shared" si="19"/>
        <v>1900</v>
      </c>
    </row>
    <row r="472" spans="1:1" s="428" customFormat="1">
      <c r="A472" s="89">
        <f t="shared" si="19"/>
        <v>1900</v>
      </c>
    </row>
    <row r="473" spans="1:1" s="428" customFormat="1">
      <c r="A473" s="89">
        <f t="shared" si="19"/>
        <v>1900</v>
      </c>
    </row>
    <row r="474" spans="1:1" s="428" customFormat="1">
      <c r="A474" s="89">
        <f t="shared" si="19"/>
        <v>1900</v>
      </c>
    </row>
    <row r="475" spans="1:1" s="428" customFormat="1">
      <c r="A475" s="89">
        <f t="shared" si="19"/>
        <v>1900</v>
      </c>
    </row>
    <row r="476" spans="1:1" s="428" customFormat="1">
      <c r="A476" s="89">
        <f t="shared" si="19"/>
        <v>1900</v>
      </c>
    </row>
    <row r="477" spans="1:1" s="428" customFormat="1">
      <c r="A477" s="89">
        <f t="shared" si="19"/>
        <v>1900</v>
      </c>
    </row>
    <row r="478" spans="1:1" s="428" customFormat="1">
      <c r="A478" s="89">
        <f t="shared" si="19"/>
        <v>1900</v>
      </c>
    </row>
    <row r="479" spans="1:1" s="428" customFormat="1">
      <c r="A479" s="89">
        <f t="shared" si="19"/>
        <v>1900</v>
      </c>
    </row>
    <row r="480" spans="1:1" s="428" customFormat="1">
      <c r="A480" s="89">
        <f t="shared" si="19"/>
        <v>1900</v>
      </c>
    </row>
    <row r="481" spans="1:1" s="428" customFormat="1">
      <c r="A481" s="89">
        <f t="shared" si="19"/>
        <v>1900</v>
      </c>
    </row>
    <row r="482" spans="1:1" s="428" customFormat="1">
      <c r="A482" s="89">
        <f t="shared" si="19"/>
        <v>1900</v>
      </c>
    </row>
    <row r="483" spans="1:1" s="428" customFormat="1">
      <c r="A483" s="89">
        <f t="shared" si="19"/>
        <v>1900</v>
      </c>
    </row>
    <row r="484" spans="1:1" s="428" customFormat="1">
      <c r="A484" s="89">
        <f t="shared" si="19"/>
        <v>1900</v>
      </c>
    </row>
    <row r="485" spans="1:1" s="428" customFormat="1">
      <c r="A485" s="89">
        <f t="shared" si="19"/>
        <v>1900</v>
      </c>
    </row>
    <row r="486" spans="1:1" s="428" customFormat="1">
      <c r="A486" s="89">
        <f t="shared" si="19"/>
        <v>1900</v>
      </c>
    </row>
    <row r="487" spans="1:1" s="428" customFormat="1">
      <c r="A487" s="89">
        <f t="shared" si="19"/>
        <v>1900</v>
      </c>
    </row>
    <row r="488" spans="1:1" s="428" customFormat="1">
      <c r="A488" s="89">
        <f t="shared" si="19"/>
        <v>1900</v>
      </c>
    </row>
    <row r="489" spans="1:1" s="428" customFormat="1">
      <c r="A489" s="89">
        <f t="shared" si="19"/>
        <v>1900</v>
      </c>
    </row>
    <row r="490" spans="1:1" s="428" customFormat="1">
      <c r="A490" s="89">
        <f t="shared" si="19"/>
        <v>1900</v>
      </c>
    </row>
    <row r="491" spans="1:1" s="428" customFormat="1">
      <c r="A491" s="89">
        <f t="shared" si="19"/>
        <v>1900</v>
      </c>
    </row>
    <row r="492" spans="1:1" s="428" customFormat="1">
      <c r="A492" s="89">
        <f t="shared" si="19"/>
        <v>1900</v>
      </c>
    </row>
    <row r="493" spans="1:1" s="428" customFormat="1">
      <c r="A493" s="89">
        <f t="shared" si="19"/>
        <v>1900</v>
      </c>
    </row>
    <row r="494" spans="1:1" s="428" customFormat="1">
      <c r="A494" s="89">
        <f t="shared" si="19"/>
        <v>1900</v>
      </c>
    </row>
    <row r="495" spans="1:1" s="428" customFormat="1">
      <c r="A495" s="89">
        <f t="shared" si="19"/>
        <v>1900</v>
      </c>
    </row>
    <row r="496" spans="1:1" s="428" customFormat="1">
      <c r="A496" s="89">
        <f t="shared" si="19"/>
        <v>1900</v>
      </c>
    </row>
    <row r="497" spans="1:1" s="428" customFormat="1">
      <c r="A497" s="89">
        <f t="shared" si="19"/>
        <v>1900</v>
      </c>
    </row>
    <row r="498" spans="1:1" s="428" customFormat="1">
      <c r="A498" s="89">
        <f t="shared" si="19"/>
        <v>1900</v>
      </c>
    </row>
    <row r="499" spans="1:1" s="428" customFormat="1">
      <c r="A499" s="89">
        <f t="shared" si="19"/>
        <v>1900</v>
      </c>
    </row>
    <row r="500" spans="1:1" s="428" customFormat="1">
      <c r="A500" s="89">
        <f t="shared" si="19"/>
        <v>1900</v>
      </c>
    </row>
    <row r="501" spans="1:1" s="428" customFormat="1">
      <c r="A501" s="89">
        <f t="shared" si="19"/>
        <v>1900</v>
      </c>
    </row>
    <row r="502" spans="1:1" s="428" customFormat="1">
      <c r="A502" s="89">
        <f t="shared" si="19"/>
        <v>1900</v>
      </c>
    </row>
    <row r="503" spans="1:1" s="428" customFormat="1">
      <c r="A503" s="89">
        <f t="shared" si="19"/>
        <v>1900</v>
      </c>
    </row>
    <row r="504" spans="1:1" s="428" customFormat="1">
      <c r="A504" s="89">
        <f t="shared" si="19"/>
        <v>1900</v>
      </c>
    </row>
    <row r="505" spans="1:1" s="428" customFormat="1">
      <c r="A505" s="89">
        <f t="shared" si="19"/>
        <v>1900</v>
      </c>
    </row>
    <row r="506" spans="1:1" s="428" customFormat="1">
      <c r="A506" s="89">
        <f t="shared" si="19"/>
        <v>1900</v>
      </c>
    </row>
    <row r="507" spans="1:1" s="428" customFormat="1">
      <c r="A507" s="89">
        <f t="shared" si="19"/>
        <v>1900</v>
      </c>
    </row>
    <row r="508" spans="1:1" s="428" customFormat="1">
      <c r="A508" s="89">
        <f t="shared" si="19"/>
        <v>1900</v>
      </c>
    </row>
    <row r="509" spans="1:1" s="428" customFormat="1">
      <c r="A509" s="89">
        <f t="shared" si="19"/>
        <v>1900</v>
      </c>
    </row>
  </sheetData>
  <mergeCells count="3">
    <mergeCell ref="B7:L7"/>
    <mergeCell ref="N7:R7"/>
    <mergeCell ref="T7:X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zoomScaleNormal="100" workbookViewId="0"/>
  </sheetViews>
  <sheetFormatPr defaultColWidth="21.5703125" defaultRowHeight="15"/>
  <cols>
    <col min="1" max="1" width="15.5703125" style="428" bestFit="1" customWidth="1"/>
    <col min="2" max="2" width="8.5703125" style="428" hidden="1" customWidth="1"/>
    <col min="3" max="3" width="17" style="428" hidden="1" customWidth="1"/>
    <col min="4" max="4" width="13.28515625" style="428" customWidth="1"/>
    <col min="5" max="5" width="14" style="428" customWidth="1"/>
    <col min="6" max="6" width="13.140625" style="428" customWidth="1"/>
    <col min="7" max="7" width="9.42578125" style="428" customWidth="1"/>
    <col min="8" max="8" width="11" style="428" customWidth="1"/>
    <col min="9" max="9" width="13.7109375" style="428" bestFit="1" customWidth="1"/>
    <col min="10" max="10" width="8.7109375" style="428" bestFit="1" customWidth="1"/>
    <col min="11" max="11" width="6" style="428" bestFit="1" customWidth="1"/>
    <col min="12" max="12" width="9.85546875" style="428" bestFit="1" customWidth="1"/>
    <col min="13" max="13" width="6.140625" style="428" bestFit="1" customWidth="1"/>
    <col min="14" max="14" width="8.5703125" style="428" bestFit="1" customWidth="1"/>
    <col min="15" max="15" width="23.140625" style="428" customWidth="1"/>
    <col min="16" max="16" width="9.85546875" style="428" bestFit="1" customWidth="1"/>
    <col min="17" max="17" width="9.28515625" style="428" bestFit="1" customWidth="1"/>
    <col min="18" max="18" width="4.140625" style="428" bestFit="1" customWidth="1"/>
    <col min="19" max="19" width="6.42578125" style="428" bestFit="1" customWidth="1"/>
    <col min="20" max="20" width="10.5703125" style="428" bestFit="1" customWidth="1"/>
    <col min="21" max="21" width="5.5703125" style="428" bestFit="1" customWidth="1"/>
    <col min="22" max="22" width="4" style="428" bestFit="1" customWidth="1"/>
    <col min="23" max="23" width="7.85546875" style="428" bestFit="1" customWidth="1"/>
    <col min="24" max="24" width="4.85546875" style="428" bestFit="1" customWidth="1"/>
    <col min="25" max="25" width="4.42578125" style="428" bestFit="1" customWidth="1"/>
    <col min="26" max="26" width="5.85546875" style="428" bestFit="1" customWidth="1"/>
    <col min="27" max="27" width="12.140625" style="428" bestFit="1" customWidth="1"/>
    <col min="28" max="28" width="9.85546875" style="428" bestFit="1" customWidth="1"/>
    <col min="29" max="29" width="9.28515625" style="428" bestFit="1" customWidth="1"/>
    <col min="30" max="30" width="4.140625" style="428" bestFit="1" customWidth="1"/>
    <col min="31" max="31" width="6.42578125" style="428" bestFit="1" customWidth="1"/>
    <col min="32" max="32" width="10.5703125" style="428" bestFit="1" customWidth="1"/>
    <col min="33" max="33" width="5.5703125" style="428" bestFit="1" customWidth="1"/>
    <col min="34" max="34" width="4.85546875" style="428" bestFit="1" customWidth="1"/>
    <col min="35" max="35" width="7.85546875" style="428" bestFit="1" customWidth="1"/>
    <col min="36" max="37" width="4.85546875" style="428" bestFit="1" customWidth="1"/>
    <col min="38" max="38" width="5.85546875" style="428" bestFit="1" customWidth="1"/>
    <col min="39" max="39" width="12.140625" style="428" bestFit="1" customWidth="1"/>
    <col min="40" max="40" width="9.85546875" style="428" bestFit="1" customWidth="1"/>
    <col min="41" max="41" width="9.28515625" style="428" bestFit="1" customWidth="1"/>
    <col min="42" max="42" width="4.140625" style="428" bestFit="1" customWidth="1"/>
    <col min="43" max="43" width="6.42578125" style="428" bestFit="1" customWidth="1"/>
    <col min="44" max="44" width="10.5703125" style="428" bestFit="1" customWidth="1"/>
    <col min="45" max="45" width="5.5703125" style="428" bestFit="1" customWidth="1"/>
    <col min="46" max="46" width="4" style="428" bestFit="1" customWidth="1"/>
    <col min="47" max="47" width="7.85546875" style="428" bestFit="1" customWidth="1"/>
    <col min="48" max="48" width="4.85546875" style="428" bestFit="1" customWidth="1"/>
    <col min="49" max="49" width="4.42578125" style="428" bestFit="1" customWidth="1"/>
    <col min="50" max="50" width="5.85546875" style="428" bestFit="1" customWidth="1"/>
    <col min="51" max="51" width="12.140625" style="428" bestFit="1" customWidth="1"/>
    <col min="52" max="52" width="9.85546875" style="428" bestFit="1" customWidth="1"/>
    <col min="53" max="53" width="9.28515625" style="428" bestFit="1" customWidth="1"/>
    <col min="54" max="54" width="4.85546875" style="428" bestFit="1" customWidth="1"/>
    <col min="55" max="55" width="6.42578125" style="428" bestFit="1" customWidth="1"/>
    <col min="56" max="56" width="10.5703125" style="428" bestFit="1" customWidth="1"/>
    <col min="57" max="57" width="5.5703125" style="428" bestFit="1" customWidth="1"/>
    <col min="58" max="58" width="4" style="428" bestFit="1" customWidth="1"/>
    <col min="59" max="59" width="7.85546875" style="428" bestFit="1" customWidth="1"/>
    <col min="60" max="61" width="4.85546875" style="428" bestFit="1" customWidth="1"/>
    <col min="62" max="62" width="5.85546875" style="428" bestFit="1" customWidth="1"/>
    <col min="63" max="63" width="12.140625" style="428" bestFit="1" customWidth="1"/>
    <col min="64" max="64" width="9.85546875" style="428" bestFit="1" customWidth="1"/>
    <col min="65" max="65" width="9.28515625" style="428" bestFit="1" customWidth="1"/>
    <col min="66" max="66" width="4.140625" style="428" bestFit="1" customWidth="1"/>
    <col min="67" max="67" width="6.42578125" style="428" bestFit="1" customWidth="1"/>
    <col min="68" max="68" width="10.5703125" style="428" bestFit="1" customWidth="1"/>
    <col min="69" max="69" width="5.5703125" style="428" bestFit="1" customWidth="1"/>
    <col min="70" max="70" width="4" style="428" bestFit="1" customWidth="1"/>
    <col min="71" max="71" width="7.85546875" style="428" bestFit="1" customWidth="1"/>
    <col min="72" max="72" width="4.85546875" style="428" bestFit="1" customWidth="1"/>
    <col min="73" max="73" width="4.42578125" style="428" bestFit="1" customWidth="1"/>
    <col min="74" max="74" width="5.85546875" style="428" bestFit="1" customWidth="1"/>
    <col min="75" max="75" width="12.140625" style="428" bestFit="1" customWidth="1"/>
    <col min="76" max="76" width="9.85546875" style="428" bestFit="1" customWidth="1"/>
    <col min="77" max="77" width="9.28515625" style="428" bestFit="1" customWidth="1"/>
    <col min="78" max="78" width="4.140625" style="428" bestFit="1" customWidth="1"/>
    <col min="79" max="79" width="6.42578125" style="428" bestFit="1" customWidth="1"/>
    <col min="80" max="80" width="10.5703125" style="428" bestFit="1" customWidth="1"/>
    <col min="81" max="81" width="5.5703125" style="428" bestFit="1" customWidth="1"/>
    <col min="82" max="82" width="4" style="428" bestFit="1" customWidth="1"/>
    <col min="83" max="83" width="7.85546875" style="428" bestFit="1" customWidth="1"/>
    <col min="84" max="85" width="4.85546875" style="428" bestFit="1" customWidth="1"/>
    <col min="86" max="86" width="5.85546875" style="428" bestFit="1" customWidth="1"/>
    <col min="87" max="87" width="12.140625" style="428" bestFit="1" customWidth="1"/>
    <col min="88" max="88" width="9.85546875" style="428" bestFit="1" customWidth="1"/>
    <col min="89" max="89" width="9.28515625" style="428" bestFit="1" customWidth="1"/>
    <col min="90" max="90" width="4.85546875" style="428" bestFit="1" customWidth="1"/>
    <col min="91" max="91" width="6.42578125" style="428" bestFit="1" customWidth="1"/>
    <col min="92" max="92" width="10.5703125" style="428" bestFit="1" customWidth="1"/>
    <col min="93" max="93" width="5.5703125" style="428" bestFit="1" customWidth="1"/>
    <col min="94" max="94" width="4.85546875" style="428" bestFit="1" customWidth="1"/>
    <col min="95" max="95" width="7.85546875" style="428" bestFit="1" customWidth="1"/>
    <col min="96" max="96" width="4.85546875" style="428" bestFit="1" customWidth="1"/>
    <col min="97" max="97" width="5.7109375" style="428" bestFit="1" customWidth="1"/>
    <col min="98" max="16384" width="21.5703125" style="428"/>
  </cols>
  <sheetData>
    <row r="1" spans="1:15">
      <c r="F1" s="244"/>
      <c r="G1" s="244"/>
      <c r="H1" s="244"/>
    </row>
    <row r="2" spans="1:15">
      <c r="F2" s="244"/>
      <c r="G2" s="244"/>
      <c r="H2" s="244"/>
    </row>
    <row r="3" spans="1:15">
      <c r="F3" s="244"/>
      <c r="G3" s="244"/>
      <c r="H3" s="244"/>
    </row>
    <row r="4" spans="1:15">
      <c r="F4" s="244"/>
      <c r="G4" s="244"/>
      <c r="H4" s="244"/>
    </row>
    <row r="6" spans="1:15" ht="15.75" thickBot="1">
      <c r="A6" s="15" t="s">
        <v>623</v>
      </c>
      <c r="B6" s="15"/>
      <c r="C6" s="15"/>
      <c r="D6" s="15"/>
      <c r="E6" s="15"/>
      <c r="F6" s="15"/>
      <c r="G6" s="15"/>
      <c r="H6" s="15"/>
      <c r="I6" s="15"/>
      <c r="J6" s="15"/>
      <c r="K6" s="15"/>
      <c r="L6" s="15"/>
      <c r="M6" s="15"/>
      <c r="N6" s="15"/>
    </row>
    <row r="7" spans="1:15" ht="30">
      <c r="A7" s="90"/>
      <c r="B7" s="91" t="s">
        <v>22</v>
      </c>
      <c r="C7" s="91" t="s">
        <v>442</v>
      </c>
      <c r="D7" s="91" t="s">
        <v>443</v>
      </c>
      <c r="E7" s="91" t="s">
        <v>444</v>
      </c>
      <c r="F7" s="91" t="s">
        <v>445</v>
      </c>
      <c r="G7" s="91" t="s">
        <v>15</v>
      </c>
      <c r="H7" s="91" t="s">
        <v>109</v>
      </c>
      <c r="I7" s="91" t="s">
        <v>344</v>
      </c>
      <c r="J7" s="91" t="s">
        <v>446</v>
      </c>
      <c r="K7" s="91" t="s">
        <v>99</v>
      </c>
      <c r="L7" s="91" t="s">
        <v>100</v>
      </c>
      <c r="M7" s="91" t="s">
        <v>103</v>
      </c>
      <c r="N7" s="92" t="s">
        <v>183</v>
      </c>
    </row>
    <row r="8" spans="1:15">
      <c r="A8" s="69" t="s">
        <v>79</v>
      </c>
      <c r="B8" s="123">
        <v>30.299999999999997</v>
      </c>
      <c r="C8" s="123">
        <v>4.5999999999999996</v>
      </c>
      <c r="D8" s="124">
        <v>41.1</v>
      </c>
      <c r="E8" s="123">
        <v>0.30000000000000004</v>
      </c>
      <c r="F8" s="124">
        <v>43.7</v>
      </c>
      <c r="G8" s="123">
        <v>33.5</v>
      </c>
      <c r="H8" s="123">
        <v>0</v>
      </c>
      <c r="I8" s="123">
        <v>0</v>
      </c>
      <c r="J8" s="124">
        <v>0</v>
      </c>
      <c r="K8" s="123">
        <v>35.799999999999997</v>
      </c>
      <c r="L8" s="67">
        <v>0</v>
      </c>
      <c r="M8" s="67">
        <v>2.5</v>
      </c>
      <c r="N8" s="445">
        <v>122.39999999999999</v>
      </c>
    </row>
    <row r="9" spans="1:15">
      <c r="A9" s="69" t="s">
        <v>80</v>
      </c>
      <c r="B9" s="125">
        <v>0</v>
      </c>
      <c r="C9" s="125">
        <v>0</v>
      </c>
      <c r="D9" s="126">
        <v>0</v>
      </c>
      <c r="E9" s="125">
        <v>0</v>
      </c>
      <c r="F9" s="126">
        <v>0</v>
      </c>
      <c r="G9" s="125">
        <v>18.8</v>
      </c>
      <c r="H9" s="125">
        <v>0</v>
      </c>
      <c r="I9" s="125">
        <v>2.9000000000000004</v>
      </c>
      <c r="J9" s="126">
        <v>0</v>
      </c>
      <c r="K9" s="125">
        <v>0</v>
      </c>
      <c r="L9" s="77">
        <v>0</v>
      </c>
      <c r="M9" s="77">
        <v>1.7</v>
      </c>
      <c r="N9" s="446">
        <v>30.300000000000004</v>
      </c>
      <c r="O9" s="342"/>
    </row>
    <row r="10" spans="1:15">
      <c r="A10" s="69" t="s">
        <v>81</v>
      </c>
      <c r="B10" s="123">
        <v>36.400000000000006</v>
      </c>
      <c r="C10" s="123">
        <v>5.6</v>
      </c>
      <c r="D10" s="124">
        <v>37.699999999999996</v>
      </c>
      <c r="E10" s="123">
        <v>0.1</v>
      </c>
      <c r="F10" s="124">
        <v>48.5</v>
      </c>
      <c r="G10" s="123">
        <v>51.400000000000006</v>
      </c>
      <c r="H10" s="123">
        <v>0</v>
      </c>
      <c r="I10" s="123">
        <v>0</v>
      </c>
      <c r="J10" s="124">
        <v>0</v>
      </c>
      <c r="K10" s="123">
        <v>83.4</v>
      </c>
      <c r="L10" s="67">
        <v>0</v>
      </c>
      <c r="M10" s="67">
        <v>11.8</v>
      </c>
      <c r="N10" s="445">
        <v>195.9</v>
      </c>
      <c r="O10" s="447"/>
    </row>
    <row r="11" spans="1:15">
      <c r="A11" s="69" t="s">
        <v>82</v>
      </c>
      <c r="B11" s="125">
        <v>18</v>
      </c>
      <c r="C11" s="125">
        <v>4.3</v>
      </c>
      <c r="D11" s="126">
        <v>23.099999999999998</v>
      </c>
      <c r="E11" s="125">
        <v>1.9</v>
      </c>
      <c r="F11" s="126">
        <v>25.1</v>
      </c>
      <c r="G11" s="125">
        <v>0.8</v>
      </c>
      <c r="H11" s="125">
        <v>3.2</v>
      </c>
      <c r="I11" s="125">
        <v>0</v>
      </c>
      <c r="J11" s="126">
        <v>0.5</v>
      </c>
      <c r="K11" s="125">
        <v>0</v>
      </c>
      <c r="L11" s="77">
        <v>0</v>
      </c>
      <c r="M11" s="77">
        <v>3.3</v>
      </c>
      <c r="N11" s="446">
        <v>49.4</v>
      </c>
      <c r="O11" s="447"/>
    </row>
    <row r="12" spans="1:15">
      <c r="A12" s="69" t="s">
        <v>83</v>
      </c>
      <c r="B12" s="123">
        <v>41.4</v>
      </c>
      <c r="C12" s="123">
        <v>11.1</v>
      </c>
      <c r="D12" s="124">
        <v>57.800000000000004</v>
      </c>
      <c r="E12" s="123">
        <v>46.9</v>
      </c>
      <c r="F12" s="124">
        <v>104.8</v>
      </c>
      <c r="G12" s="123">
        <v>445.9</v>
      </c>
      <c r="H12" s="123">
        <v>278.60000000000002</v>
      </c>
      <c r="I12" s="123">
        <v>9.5</v>
      </c>
      <c r="J12" s="124">
        <v>15.5</v>
      </c>
      <c r="K12" s="123">
        <v>0</v>
      </c>
      <c r="L12" s="67">
        <v>0.3</v>
      </c>
      <c r="M12" s="67">
        <v>68.900000000000006</v>
      </c>
      <c r="N12" s="445">
        <v>927.59999999999991</v>
      </c>
      <c r="O12" s="447"/>
    </row>
    <row r="13" spans="1:15">
      <c r="A13" s="69" t="s">
        <v>84</v>
      </c>
      <c r="B13" s="125">
        <v>0</v>
      </c>
      <c r="C13" s="125">
        <v>0.4</v>
      </c>
      <c r="D13" s="126">
        <v>0.2</v>
      </c>
      <c r="E13" s="125">
        <v>0</v>
      </c>
      <c r="F13" s="126">
        <v>0</v>
      </c>
      <c r="G13" s="125">
        <v>0</v>
      </c>
      <c r="H13" s="125">
        <v>0</v>
      </c>
      <c r="I13" s="125">
        <v>0</v>
      </c>
      <c r="J13" s="126">
        <v>0</v>
      </c>
      <c r="K13" s="125">
        <v>0</v>
      </c>
      <c r="L13" s="77">
        <v>0</v>
      </c>
      <c r="M13" s="77">
        <v>5.8000000000000007</v>
      </c>
      <c r="N13" s="446">
        <v>13.499999999999998</v>
      </c>
      <c r="O13" s="447"/>
    </row>
    <row r="14" spans="1:15" ht="15.75" thickBot="1">
      <c r="A14" s="69" t="s">
        <v>85</v>
      </c>
      <c r="B14" s="448">
        <v>3.2</v>
      </c>
      <c r="C14" s="448">
        <v>0</v>
      </c>
      <c r="D14" s="449">
        <v>4.9000000000000004</v>
      </c>
      <c r="E14" s="448">
        <v>0</v>
      </c>
      <c r="F14" s="449">
        <v>9.5</v>
      </c>
      <c r="G14" s="448">
        <v>46.8</v>
      </c>
      <c r="H14" s="448">
        <v>0</v>
      </c>
      <c r="I14" s="448">
        <v>0</v>
      </c>
      <c r="J14" s="449">
        <v>4</v>
      </c>
      <c r="K14" s="448">
        <v>0</v>
      </c>
      <c r="L14" s="450">
        <v>0</v>
      </c>
      <c r="M14" s="450">
        <v>23.799999999999997</v>
      </c>
      <c r="N14" s="451">
        <v>85.6</v>
      </c>
      <c r="O14" s="447"/>
    </row>
    <row r="15" spans="1:15" ht="16.5" thickTop="1" thickBot="1">
      <c r="A15" s="69" t="s">
        <v>447</v>
      </c>
      <c r="B15" s="452">
        <v>130.39999999999998</v>
      </c>
      <c r="C15" s="452">
        <v>49.9</v>
      </c>
      <c r="D15" s="453">
        <v>182.2</v>
      </c>
      <c r="E15" s="452">
        <v>51.499999999999993</v>
      </c>
      <c r="F15" s="453">
        <v>233.8</v>
      </c>
      <c r="G15" s="452">
        <v>617.59999999999991</v>
      </c>
      <c r="H15" s="452">
        <v>288</v>
      </c>
      <c r="I15" s="452">
        <v>19.399999999999999</v>
      </c>
      <c r="J15" s="453">
        <v>23.400000000000002</v>
      </c>
      <c r="K15" s="452">
        <v>124.2</v>
      </c>
      <c r="L15" s="454">
        <v>1.9</v>
      </c>
      <c r="M15" s="454">
        <v>116.3</v>
      </c>
      <c r="N15" s="455">
        <v>1426.9</v>
      </c>
      <c r="O15" s="447"/>
    </row>
    <row r="16" spans="1:15" ht="15.75" thickBot="1">
      <c r="A16" s="71" t="s">
        <v>290</v>
      </c>
      <c r="B16" s="452">
        <f>B15-B12</f>
        <v>88.999999999999972</v>
      </c>
      <c r="C16" s="452">
        <f t="shared" ref="C16:N16" si="0">C15-C12</f>
        <v>38.799999999999997</v>
      </c>
      <c r="D16" s="453">
        <f>SUM(B16:C16)</f>
        <v>127.79999999999997</v>
      </c>
      <c r="E16" s="452">
        <f t="shared" si="0"/>
        <v>4.5999999999999943</v>
      </c>
      <c r="F16" s="453">
        <f t="shared" si="0"/>
        <v>129</v>
      </c>
      <c r="G16" s="452">
        <f t="shared" si="0"/>
        <v>171.69999999999993</v>
      </c>
      <c r="H16" s="452">
        <f t="shared" si="0"/>
        <v>9.3999999999999773</v>
      </c>
      <c r="I16" s="452">
        <f t="shared" si="0"/>
        <v>9.8999999999999986</v>
      </c>
      <c r="J16" s="453">
        <f t="shared" si="0"/>
        <v>7.9000000000000021</v>
      </c>
      <c r="K16" s="452">
        <f t="shared" si="0"/>
        <v>124.2</v>
      </c>
      <c r="L16" s="454">
        <f t="shared" si="0"/>
        <v>1.5999999999999999</v>
      </c>
      <c r="M16" s="454">
        <f t="shared" si="0"/>
        <v>47.399999999999991</v>
      </c>
      <c r="N16" s="455">
        <f t="shared" si="0"/>
        <v>499.30000000000018</v>
      </c>
      <c r="O16" s="447"/>
    </row>
    <row r="17" spans="1:15">
      <c r="O17" s="447"/>
    </row>
    <row r="18" spans="1:15">
      <c r="A18" s="548" t="s">
        <v>637</v>
      </c>
      <c r="O18" s="447"/>
    </row>
    <row r="56" spans="15:19">
      <c r="O56" s="482"/>
      <c r="P56" s="483"/>
      <c r="Q56" s="482"/>
      <c r="R56" s="484"/>
      <c r="S56" s="484"/>
    </row>
    <row r="57" spans="15:19">
      <c r="O57" s="482"/>
      <c r="P57" s="483"/>
      <c r="Q57" s="482"/>
      <c r="R57" s="484"/>
      <c r="S57" s="484"/>
    </row>
    <row r="58" spans="15:19">
      <c r="O58" s="482"/>
      <c r="P58" s="483"/>
      <c r="Q58" s="482"/>
      <c r="R58" s="484"/>
      <c r="S58" s="484"/>
    </row>
    <row r="59" spans="15:19">
      <c r="O59" s="482"/>
      <c r="P59" s="483"/>
      <c r="Q59" s="482"/>
      <c r="R59" s="484"/>
      <c r="S59" s="484"/>
    </row>
    <row r="60" spans="15:19">
      <c r="O60" s="482"/>
      <c r="P60" s="483"/>
      <c r="Q60" s="482"/>
      <c r="R60" s="484"/>
      <c r="S60" s="484"/>
    </row>
    <row r="61" spans="15:19">
      <c r="O61" s="482"/>
      <c r="P61" s="483"/>
      <c r="Q61" s="482"/>
      <c r="R61" s="484"/>
      <c r="S61" s="484"/>
    </row>
    <row r="62" spans="15:19">
      <c r="O62" s="482"/>
      <c r="P62" s="483"/>
      <c r="Q62" s="482"/>
      <c r="R62" s="484"/>
      <c r="S62" s="484"/>
    </row>
    <row r="63" spans="15:19">
      <c r="O63" s="482"/>
      <c r="P63" s="483"/>
      <c r="Q63" s="482"/>
      <c r="R63" s="484"/>
      <c r="S63" s="484"/>
    </row>
    <row r="64" spans="15:19">
      <c r="O64" s="482"/>
      <c r="P64" s="483"/>
      <c r="Q64"/>
      <c r="R64"/>
      <c r="S64"/>
    </row>
  </sheetData>
  <mergeCells count="1">
    <mergeCell ref="A6:N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8"/>
  <sheetViews>
    <sheetView topLeftCell="C1" zoomScaleNormal="100" workbookViewId="0">
      <selection activeCell="C1" sqref="C1"/>
    </sheetView>
  </sheetViews>
  <sheetFormatPr defaultColWidth="14.7109375" defaultRowHeight="11.25"/>
  <cols>
    <col min="1" max="2" width="14.7109375" style="456" hidden="1" customWidth="1"/>
    <col min="3" max="3" width="14.7109375" style="456"/>
    <col min="4" max="7" width="21.7109375" style="456" customWidth="1"/>
    <col min="8" max="8" width="19" style="456" customWidth="1"/>
    <col min="9" max="11" width="0.140625" style="485" customWidth="1"/>
    <col min="12" max="12" width="5.28515625" style="457" customWidth="1"/>
    <col min="13" max="20" width="14.7109375" style="456"/>
    <col min="21" max="21" width="30.7109375" style="456" customWidth="1"/>
    <col min="22" max="16384" width="14.7109375" style="456"/>
  </cols>
  <sheetData>
    <row r="2" spans="1:20" ht="12">
      <c r="T2" s="458"/>
    </row>
    <row r="3" spans="1:20" ht="12">
      <c r="T3" s="458"/>
    </row>
    <row r="4" spans="1:20" ht="12">
      <c r="T4" s="458"/>
    </row>
    <row r="5" spans="1:20" ht="12">
      <c r="T5" s="458"/>
    </row>
    <row r="6" spans="1:20" ht="12">
      <c r="T6" s="458"/>
    </row>
    <row r="7" spans="1:20" ht="12.75" thickBot="1">
      <c r="I7" s="485" t="s">
        <v>183</v>
      </c>
      <c r="J7" s="485" t="s">
        <v>448</v>
      </c>
      <c r="K7" s="485" t="s">
        <v>449</v>
      </c>
      <c r="T7" s="458"/>
    </row>
    <row r="8" spans="1:20" ht="58.5" customHeight="1">
      <c r="A8" s="459"/>
      <c r="B8" s="459"/>
      <c r="C8" s="90"/>
      <c r="D8" s="91" t="s">
        <v>589</v>
      </c>
      <c r="E8" s="91" t="s">
        <v>590</v>
      </c>
      <c r="F8" s="91" t="s">
        <v>591</v>
      </c>
      <c r="G8" s="91" t="s">
        <v>592</v>
      </c>
      <c r="H8" s="92" t="s">
        <v>593</v>
      </c>
      <c r="I8" s="486" t="str">
        <f>O68</f>
        <v>Annual Average (Calendar Year)</v>
      </c>
      <c r="J8" s="487" t="str">
        <f>O68</f>
        <v>Annual Average (Calendar Year)</v>
      </c>
      <c r="K8" s="487" t="str">
        <f>O68</f>
        <v>Annual Average (Calendar Year)</v>
      </c>
      <c r="T8" s="458"/>
    </row>
    <row r="9" spans="1:20" ht="15">
      <c r="A9" s="460">
        <f t="shared" ref="A9:A59" si="0">YEAR(C9)</f>
        <v>2003</v>
      </c>
      <c r="B9" s="461" t="str">
        <f t="shared" ref="B9:B59" si="1">IF(MONTH(C9)&lt;4,"1",IF(MONTH(C9)&lt;7,"2",IF(MONTH(C9)&lt;10,"3","4")))</f>
        <v>3</v>
      </c>
      <c r="C9" s="69">
        <v>37865</v>
      </c>
      <c r="D9" s="462">
        <v>63.6</v>
      </c>
      <c r="E9" s="462">
        <v>115.9</v>
      </c>
      <c r="F9" s="462">
        <v>1404</v>
      </c>
      <c r="G9" s="462">
        <v>646</v>
      </c>
      <c r="H9" s="445">
        <v>758</v>
      </c>
      <c r="I9" s="488">
        <f t="shared" ref="I9:I55" si="2">IF($I$8=$T$12,IF(B9="3",AVERAGE(F9:F12),IF(B9="4",AVERAGE(F8:F11),IF(B9="1",AVERAGE(F7:F10),AVERAGE(F6:F9)))),AVERAGEIF($A$9:$A$150,A9,$F$9:$F$150))</f>
        <v>1365</v>
      </c>
      <c r="J9" s="488">
        <f t="shared" ref="J9:J55" si="3">IF($J$8=$T$12,IF(B9="3",AVERAGE(G9:G12),IF(B9="4",AVERAGE(G8:G11),IF(B9="1",AVERAGE(G7:G10),AVERAGE(G6:G9)))),AVERAGEIF($A$9:$A$150,A9,$G$9:$G$150))</f>
        <v>641</v>
      </c>
      <c r="K9" s="488">
        <f t="shared" ref="K9:K55" si="4">IF($K$8=$T$12,IF(B9="3",AVERAGE(H9:H12),IF(B9="4",AVERAGE(H8:H11),IF(B9="1",AVERAGE(H7:H10),AVERAGE(H6:H9)))),AVERAGEIF($A$9:$A$150,A9,$H$9:$H$150))</f>
        <v>724</v>
      </c>
      <c r="T9" s="458"/>
    </row>
    <row r="10" spans="1:20" ht="15">
      <c r="A10" s="460">
        <f t="shared" si="0"/>
        <v>2003</v>
      </c>
      <c r="B10" s="461" t="str">
        <f t="shared" si="1"/>
        <v>4</v>
      </c>
      <c r="C10" s="69">
        <v>37956</v>
      </c>
      <c r="D10" s="463">
        <v>84.1</v>
      </c>
      <c r="E10" s="463">
        <v>115.4</v>
      </c>
      <c r="F10" s="463">
        <v>1326</v>
      </c>
      <c r="G10" s="463">
        <v>636</v>
      </c>
      <c r="H10" s="446">
        <v>690</v>
      </c>
      <c r="I10" s="488">
        <f t="shared" si="2"/>
        <v>1365</v>
      </c>
      <c r="J10" s="488">
        <f t="shared" si="3"/>
        <v>641</v>
      </c>
      <c r="K10" s="488">
        <f t="shared" si="4"/>
        <v>724</v>
      </c>
      <c r="T10" s="458"/>
    </row>
    <row r="11" spans="1:20" ht="15">
      <c r="A11" s="460">
        <f t="shared" si="0"/>
        <v>2004</v>
      </c>
      <c r="B11" s="461" t="str">
        <f t="shared" si="1"/>
        <v>1</v>
      </c>
      <c r="C11" s="69">
        <v>38047</v>
      </c>
      <c r="D11" s="462">
        <v>60.1</v>
      </c>
      <c r="E11" s="462">
        <v>107.1</v>
      </c>
      <c r="F11" s="462">
        <v>1104</v>
      </c>
      <c r="G11" s="462">
        <v>508</v>
      </c>
      <c r="H11" s="445">
        <v>596</v>
      </c>
      <c r="I11" s="488">
        <f t="shared" si="2"/>
        <v>1630.3</v>
      </c>
      <c r="J11" s="488">
        <f t="shared" si="3"/>
        <v>724.875</v>
      </c>
      <c r="K11" s="488">
        <f t="shared" si="4"/>
        <v>905.52499999999998</v>
      </c>
      <c r="T11" s="464"/>
    </row>
    <row r="12" spans="1:20" ht="15">
      <c r="A12" s="460">
        <f t="shared" si="0"/>
        <v>2004</v>
      </c>
      <c r="B12" s="461" t="str">
        <f t="shared" si="1"/>
        <v>2</v>
      </c>
      <c r="C12" s="69">
        <v>38139</v>
      </c>
      <c r="D12" s="463">
        <v>103.3</v>
      </c>
      <c r="E12" s="463">
        <v>137.1</v>
      </c>
      <c r="F12" s="463">
        <v>1847.1</v>
      </c>
      <c r="G12" s="463">
        <v>891</v>
      </c>
      <c r="H12" s="446">
        <v>956.6</v>
      </c>
      <c r="I12" s="488">
        <f t="shared" si="2"/>
        <v>1630.3</v>
      </c>
      <c r="J12" s="488">
        <f t="shared" si="3"/>
        <v>724.875</v>
      </c>
      <c r="K12" s="488">
        <f t="shared" si="4"/>
        <v>905.52499999999998</v>
      </c>
      <c r="T12" s="464" t="s">
        <v>450</v>
      </c>
    </row>
    <row r="13" spans="1:20" ht="15">
      <c r="A13" s="460">
        <f t="shared" si="0"/>
        <v>2004</v>
      </c>
      <c r="B13" s="461" t="str">
        <f t="shared" si="1"/>
        <v>3</v>
      </c>
      <c r="C13" s="69">
        <v>38231</v>
      </c>
      <c r="D13" s="462">
        <v>98.1</v>
      </c>
      <c r="E13" s="462">
        <v>153</v>
      </c>
      <c r="F13" s="462">
        <v>1921.6</v>
      </c>
      <c r="G13" s="462">
        <v>897.7</v>
      </c>
      <c r="H13" s="445">
        <v>1023.9</v>
      </c>
      <c r="I13" s="488">
        <f t="shared" si="2"/>
        <v>1630.3</v>
      </c>
      <c r="J13" s="488">
        <f t="shared" si="3"/>
        <v>724.875</v>
      </c>
      <c r="K13" s="488">
        <f t="shared" si="4"/>
        <v>905.52499999999998</v>
      </c>
      <c r="T13" s="464" t="s">
        <v>451</v>
      </c>
    </row>
    <row r="14" spans="1:20" ht="15">
      <c r="A14" s="460">
        <f t="shared" si="0"/>
        <v>2004</v>
      </c>
      <c r="B14" s="461" t="str">
        <f t="shared" si="1"/>
        <v>4</v>
      </c>
      <c r="C14" s="69">
        <v>38322</v>
      </c>
      <c r="D14" s="463">
        <v>107.5</v>
      </c>
      <c r="E14" s="463">
        <v>153.30000000000001</v>
      </c>
      <c r="F14" s="463">
        <v>1648.5</v>
      </c>
      <c r="G14" s="463">
        <v>602.79999999999995</v>
      </c>
      <c r="H14" s="446">
        <v>1045.5999999999999</v>
      </c>
      <c r="I14" s="488">
        <f t="shared" si="2"/>
        <v>1630.3</v>
      </c>
      <c r="J14" s="488">
        <f t="shared" si="3"/>
        <v>724.875</v>
      </c>
      <c r="K14" s="488">
        <f t="shared" si="4"/>
        <v>905.52499999999998</v>
      </c>
      <c r="T14" s="458"/>
    </row>
    <row r="15" spans="1:20" ht="15">
      <c r="A15" s="460">
        <f t="shared" si="0"/>
        <v>2005</v>
      </c>
      <c r="B15" s="461" t="str">
        <f t="shared" si="1"/>
        <v>1</v>
      </c>
      <c r="C15" s="69">
        <v>38412</v>
      </c>
      <c r="D15" s="462">
        <v>83.8</v>
      </c>
      <c r="E15" s="462">
        <v>142</v>
      </c>
      <c r="F15" s="462">
        <v>1431.4</v>
      </c>
      <c r="G15" s="462">
        <v>532.79999999999995</v>
      </c>
      <c r="H15" s="445">
        <v>898.7</v>
      </c>
      <c r="I15" s="488">
        <f t="shared" si="2"/>
        <v>1666.9749999999999</v>
      </c>
      <c r="J15" s="488">
        <f t="shared" si="3"/>
        <v>649.95000000000005</v>
      </c>
      <c r="K15" s="488">
        <f t="shared" si="4"/>
        <v>1017.0250000000001</v>
      </c>
      <c r="T15" s="458"/>
    </row>
    <row r="16" spans="1:20" ht="15">
      <c r="A16" s="460">
        <f t="shared" si="0"/>
        <v>2005</v>
      </c>
      <c r="B16" s="461" t="str">
        <f t="shared" si="1"/>
        <v>2</v>
      </c>
      <c r="C16" s="69">
        <v>38504</v>
      </c>
      <c r="D16" s="463">
        <v>115.2</v>
      </c>
      <c r="E16" s="463">
        <v>175.5</v>
      </c>
      <c r="F16" s="463">
        <v>1782.9</v>
      </c>
      <c r="G16" s="463">
        <v>750.1</v>
      </c>
      <c r="H16" s="446">
        <v>1032.8</v>
      </c>
      <c r="I16" s="488">
        <f t="shared" si="2"/>
        <v>1666.9749999999999</v>
      </c>
      <c r="J16" s="488">
        <f t="shared" si="3"/>
        <v>649.95000000000005</v>
      </c>
      <c r="K16" s="488">
        <f t="shared" si="4"/>
        <v>1017.0250000000001</v>
      </c>
      <c r="T16" s="458"/>
    </row>
    <row r="17" spans="1:20" ht="15">
      <c r="A17" s="460">
        <f t="shared" si="0"/>
        <v>2005</v>
      </c>
      <c r="B17" s="461" t="str">
        <f t="shared" si="1"/>
        <v>3</v>
      </c>
      <c r="C17" s="69">
        <v>38596</v>
      </c>
      <c r="D17" s="462">
        <v>105.5</v>
      </c>
      <c r="E17" s="462">
        <v>186.6</v>
      </c>
      <c r="F17" s="462">
        <v>1835</v>
      </c>
      <c r="G17" s="462">
        <v>735.1</v>
      </c>
      <c r="H17" s="445">
        <v>1099.9000000000001</v>
      </c>
      <c r="I17" s="488">
        <f t="shared" si="2"/>
        <v>1666.9749999999999</v>
      </c>
      <c r="J17" s="488">
        <f t="shared" si="3"/>
        <v>649.95000000000005</v>
      </c>
      <c r="K17" s="488">
        <f t="shared" si="4"/>
        <v>1017.0250000000001</v>
      </c>
      <c r="T17" s="458"/>
    </row>
    <row r="18" spans="1:20" ht="15">
      <c r="A18" s="460">
        <f t="shared" si="0"/>
        <v>2005</v>
      </c>
      <c r="B18" s="461" t="str">
        <f t="shared" si="1"/>
        <v>4</v>
      </c>
      <c r="C18" s="69">
        <v>38687</v>
      </c>
      <c r="D18" s="463">
        <v>117.8</v>
      </c>
      <c r="E18" s="463">
        <v>209.8</v>
      </c>
      <c r="F18" s="463">
        <v>1618.6</v>
      </c>
      <c r="G18" s="463">
        <v>581.79999999999995</v>
      </c>
      <c r="H18" s="446">
        <v>1036.7</v>
      </c>
      <c r="I18" s="488">
        <f t="shared" si="2"/>
        <v>1666.9749999999999</v>
      </c>
      <c r="J18" s="488">
        <f t="shared" si="3"/>
        <v>649.95000000000005</v>
      </c>
      <c r="K18" s="488">
        <f t="shared" si="4"/>
        <v>1017.0250000000001</v>
      </c>
      <c r="T18" s="458"/>
    </row>
    <row r="19" spans="1:20" ht="15">
      <c r="A19" s="460">
        <f t="shared" si="0"/>
        <v>2006</v>
      </c>
      <c r="B19" s="461" t="str">
        <f t="shared" si="1"/>
        <v>1</v>
      </c>
      <c r="C19" s="69">
        <v>38777</v>
      </c>
      <c r="D19" s="462">
        <v>104.5</v>
      </c>
      <c r="E19" s="462">
        <v>159.30000000000001</v>
      </c>
      <c r="F19" s="462">
        <v>1467.1</v>
      </c>
      <c r="G19" s="462">
        <v>522.79999999999995</v>
      </c>
      <c r="H19" s="445">
        <v>944.4</v>
      </c>
      <c r="I19" s="488">
        <f t="shared" si="2"/>
        <v>1933.4749999999999</v>
      </c>
      <c r="J19" s="488">
        <f t="shared" si="3"/>
        <v>753.4</v>
      </c>
      <c r="K19" s="488">
        <f t="shared" si="4"/>
        <v>1180.0999999999999</v>
      </c>
      <c r="T19" s="458"/>
    </row>
    <row r="20" spans="1:20" ht="15">
      <c r="A20" s="460">
        <f t="shared" si="0"/>
        <v>2006</v>
      </c>
      <c r="B20" s="461" t="str">
        <f t="shared" si="1"/>
        <v>2</v>
      </c>
      <c r="C20" s="69">
        <v>38869</v>
      </c>
      <c r="D20" s="463">
        <v>129.69999999999999</v>
      </c>
      <c r="E20" s="463">
        <v>227.7</v>
      </c>
      <c r="F20" s="463">
        <v>1916.1</v>
      </c>
      <c r="G20" s="463">
        <v>778</v>
      </c>
      <c r="H20" s="446">
        <v>1138.0999999999999</v>
      </c>
      <c r="I20" s="488">
        <f t="shared" si="2"/>
        <v>1933.4749999999999</v>
      </c>
      <c r="J20" s="488">
        <f t="shared" si="3"/>
        <v>753.4</v>
      </c>
      <c r="K20" s="488">
        <f t="shared" si="4"/>
        <v>1180.0999999999999</v>
      </c>
      <c r="T20" s="458"/>
    </row>
    <row r="21" spans="1:20" ht="15">
      <c r="A21" s="460">
        <f t="shared" si="0"/>
        <v>2006</v>
      </c>
      <c r="B21" s="461" t="str">
        <f t="shared" si="1"/>
        <v>3</v>
      </c>
      <c r="C21" s="69">
        <v>38961</v>
      </c>
      <c r="D21" s="462">
        <v>138.5</v>
      </c>
      <c r="E21" s="462">
        <v>256.10000000000002</v>
      </c>
      <c r="F21" s="462">
        <v>2251</v>
      </c>
      <c r="G21" s="462">
        <v>812.4</v>
      </c>
      <c r="H21" s="445">
        <v>1438.6</v>
      </c>
      <c r="I21" s="488">
        <f t="shared" si="2"/>
        <v>1933.4749999999999</v>
      </c>
      <c r="J21" s="488">
        <f t="shared" si="3"/>
        <v>753.4</v>
      </c>
      <c r="K21" s="488">
        <f t="shared" si="4"/>
        <v>1180.0999999999999</v>
      </c>
      <c r="T21" s="458"/>
    </row>
    <row r="22" spans="1:20" ht="15">
      <c r="A22" s="460">
        <f t="shared" si="0"/>
        <v>2006</v>
      </c>
      <c r="B22" s="461" t="str">
        <f t="shared" si="1"/>
        <v>4</v>
      </c>
      <c r="C22" s="69">
        <v>39052</v>
      </c>
      <c r="D22" s="463">
        <v>160.19999999999999</v>
      </c>
      <c r="E22" s="463">
        <v>288</v>
      </c>
      <c r="F22" s="463">
        <v>2099.6999999999998</v>
      </c>
      <c r="G22" s="463">
        <v>900.4</v>
      </c>
      <c r="H22" s="446">
        <v>1199.3</v>
      </c>
      <c r="I22" s="488">
        <f t="shared" si="2"/>
        <v>1933.4749999999999</v>
      </c>
      <c r="J22" s="488">
        <f t="shared" si="3"/>
        <v>753.4</v>
      </c>
      <c r="K22" s="488">
        <f t="shared" si="4"/>
        <v>1180.0999999999999</v>
      </c>
      <c r="T22" s="458"/>
    </row>
    <row r="23" spans="1:20" ht="15">
      <c r="A23" s="460">
        <f t="shared" si="0"/>
        <v>2007</v>
      </c>
      <c r="B23" s="461" t="str">
        <f t="shared" si="1"/>
        <v>1</v>
      </c>
      <c r="C23" s="69">
        <v>39142</v>
      </c>
      <c r="D23" s="462">
        <v>132.5</v>
      </c>
      <c r="E23" s="462">
        <v>236.8</v>
      </c>
      <c r="F23" s="462">
        <v>1784.2</v>
      </c>
      <c r="G23" s="462">
        <v>713.2</v>
      </c>
      <c r="H23" s="445">
        <v>1071</v>
      </c>
      <c r="I23" s="488">
        <f t="shared" si="2"/>
        <v>2276.6749999999997</v>
      </c>
      <c r="J23" s="488">
        <f t="shared" si="3"/>
        <v>888.30000000000007</v>
      </c>
      <c r="K23" s="488">
        <f t="shared" si="4"/>
        <v>1388.35</v>
      </c>
      <c r="T23" s="458"/>
    </row>
    <row r="24" spans="1:20" ht="15">
      <c r="A24" s="460">
        <f t="shared" si="0"/>
        <v>2007</v>
      </c>
      <c r="B24" s="461" t="str">
        <f t="shared" si="1"/>
        <v>2</v>
      </c>
      <c r="C24" s="69">
        <v>39234</v>
      </c>
      <c r="D24" s="463">
        <v>178.7</v>
      </c>
      <c r="E24" s="463">
        <v>323.7</v>
      </c>
      <c r="F24" s="463">
        <v>2319.6999999999998</v>
      </c>
      <c r="G24" s="463">
        <v>814.1</v>
      </c>
      <c r="H24" s="446">
        <v>1505.6</v>
      </c>
      <c r="I24" s="488">
        <f t="shared" si="2"/>
        <v>2276.6749999999997</v>
      </c>
      <c r="J24" s="488">
        <f t="shared" si="3"/>
        <v>888.30000000000007</v>
      </c>
      <c r="K24" s="488">
        <f t="shared" si="4"/>
        <v>1388.35</v>
      </c>
      <c r="T24" s="458"/>
    </row>
    <row r="25" spans="1:20" ht="15">
      <c r="A25" s="460">
        <f t="shared" si="0"/>
        <v>2007</v>
      </c>
      <c r="B25" s="461" t="str">
        <f t="shared" si="1"/>
        <v>3</v>
      </c>
      <c r="C25" s="69">
        <v>39326</v>
      </c>
      <c r="D25" s="462">
        <v>209.5</v>
      </c>
      <c r="E25" s="462">
        <v>353.9</v>
      </c>
      <c r="F25" s="462">
        <v>2556.6999999999998</v>
      </c>
      <c r="G25" s="462">
        <v>1055.8</v>
      </c>
      <c r="H25" s="445">
        <v>1500.8</v>
      </c>
      <c r="I25" s="488">
        <f t="shared" si="2"/>
        <v>2276.6749999999997</v>
      </c>
      <c r="J25" s="488">
        <f t="shared" si="3"/>
        <v>888.30000000000007</v>
      </c>
      <c r="K25" s="488">
        <f t="shared" si="4"/>
        <v>1388.35</v>
      </c>
      <c r="T25" s="458"/>
    </row>
    <row r="26" spans="1:20" ht="15">
      <c r="A26" s="460">
        <f t="shared" si="0"/>
        <v>2007</v>
      </c>
      <c r="B26" s="461" t="str">
        <f t="shared" si="1"/>
        <v>4</v>
      </c>
      <c r="C26" s="69">
        <v>39417</v>
      </c>
      <c r="D26" s="463">
        <v>274.2</v>
      </c>
      <c r="E26" s="463">
        <v>351.7</v>
      </c>
      <c r="F26" s="463">
        <v>2446.1</v>
      </c>
      <c r="G26" s="463">
        <v>970.1</v>
      </c>
      <c r="H26" s="446">
        <v>1476</v>
      </c>
      <c r="I26" s="488">
        <f t="shared" si="2"/>
        <v>2276.6749999999997</v>
      </c>
      <c r="J26" s="488">
        <f t="shared" si="3"/>
        <v>888.30000000000007</v>
      </c>
      <c r="K26" s="488">
        <f t="shared" si="4"/>
        <v>1388.35</v>
      </c>
      <c r="T26" s="458"/>
    </row>
    <row r="27" spans="1:20" ht="15">
      <c r="A27" s="460">
        <f t="shared" si="0"/>
        <v>2008</v>
      </c>
      <c r="B27" s="461" t="str">
        <f t="shared" si="1"/>
        <v>1</v>
      </c>
      <c r="C27" s="69">
        <v>39508</v>
      </c>
      <c r="D27" s="462">
        <v>223.6</v>
      </c>
      <c r="E27" s="462">
        <v>320.3</v>
      </c>
      <c r="F27" s="462">
        <v>2012.5</v>
      </c>
      <c r="G27" s="462">
        <v>737.1</v>
      </c>
      <c r="H27" s="445">
        <v>1275.4000000000001</v>
      </c>
      <c r="I27" s="488">
        <f t="shared" si="2"/>
        <v>2423.5250000000001</v>
      </c>
      <c r="J27" s="488">
        <f t="shared" si="3"/>
        <v>938.77499999999998</v>
      </c>
      <c r="K27" s="488">
        <f t="shared" si="4"/>
        <v>1484.75</v>
      </c>
      <c r="T27" s="458"/>
    </row>
    <row r="28" spans="1:20" ht="15">
      <c r="A28" s="460">
        <f t="shared" si="0"/>
        <v>2008</v>
      </c>
      <c r="B28" s="461" t="str">
        <f t="shared" si="1"/>
        <v>2</v>
      </c>
      <c r="C28" s="69">
        <v>39600</v>
      </c>
      <c r="D28" s="463">
        <v>305.39999999999998</v>
      </c>
      <c r="E28" s="463">
        <v>422.7</v>
      </c>
      <c r="F28" s="463">
        <v>2740.3</v>
      </c>
      <c r="G28" s="463">
        <v>1157</v>
      </c>
      <c r="H28" s="446">
        <v>1583.2</v>
      </c>
      <c r="I28" s="488">
        <f t="shared" si="2"/>
        <v>2423.5250000000001</v>
      </c>
      <c r="J28" s="488">
        <f t="shared" si="3"/>
        <v>938.77499999999998</v>
      </c>
      <c r="K28" s="488">
        <f t="shared" si="4"/>
        <v>1484.75</v>
      </c>
      <c r="T28" s="458"/>
    </row>
    <row r="29" spans="1:20" ht="15">
      <c r="A29" s="460">
        <f t="shared" si="0"/>
        <v>2008</v>
      </c>
      <c r="B29" s="461" t="str">
        <f t="shared" si="1"/>
        <v>3</v>
      </c>
      <c r="C29" s="69">
        <v>39692</v>
      </c>
      <c r="D29" s="462">
        <v>270.60000000000002</v>
      </c>
      <c r="E29" s="462">
        <v>417.1</v>
      </c>
      <c r="F29" s="462">
        <v>2704.8</v>
      </c>
      <c r="G29" s="462">
        <v>1068.9000000000001</v>
      </c>
      <c r="H29" s="445">
        <v>1636</v>
      </c>
      <c r="I29" s="488">
        <f t="shared" si="2"/>
        <v>2423.5250000000001</v>
      </c>
      <c r="J29" s="488">
        <f t="shared" si="3"/>
        <v>938.77499999999998</v>
      </c>
      <c r="K29" s="488">
        <f t="shared" si="4"/>
        <v>1484.75</v>
      </c>
    </row>
    <row r="30" spans="1:20" ht="15">
      <c r="A30" s="460">
        <f t="shared" si="0"/>
        <v>2008</v>
      </c>
      <c r="B30" s="461" t="str">
        <f t="shared" si="1"/>
        <v>4</v>
      </c>
      <c r="C30" s="69">
        <v>39783</v>
      </c>
      <c r="D30" s="463">
        <v>237.7</v>
      </c>
      <c r="E30" s="463">
        <v>410.8</v>
      </c>
      <c r="F30" s="463">
        <v>2236.5</v>
      </c>
      <c r="G30" s="463">
        <v>792.1</v>
      </c>
      <c r="H30" s="446">
        <v>1444.4</v>
      </c>
      <c r="I30" s="488">
        <f t="shared" si="2"/>
        <v>2423.5250000000001</v>
      </c>
      <c r="J30" s="488">
        <f t="shared" si="3"/>
        <v>938.77499999999998</v>
      </c>
      <c r="K30" s="488">
        <f t="shared" si="4"/>
        <v>1484.75</v>
      </c>
    </row>
    <row r="31" spans="1:20" ht="15">
      <c r="A31" s="460">
        <f t="shared" si="0"/>
        <v>2009</v>
      </c>
      <c r="B31" s="461" t="str">
        <f t="shared" si="1"/>
        <v>1</v>
      </c>
      <c r="C31" s="69">
        <v>39873</v>
      </c>
      <c r="D31" s="462">
        <v>148.80000000000001</v>
      </c>
      <c r="E31" s="462">
        <v>254.6</v>
      </c>
      <c r="F31" s="462">
        <v>1226.5</v>
      </c>
      <c r="G31" s="462">
        <v>338.2</v>
      </c>
      <c r="H31" s="445">
        <v>888.3</v>
      </c>
      <c r="I31" s="488">
        <f t="shared" si="2"/>
        <v>1845.375</v>
      </c>
      <c r="J31" s="488">
        <f t="shared" si="3"/>
        <v>609</v>
      </c>
      <c r="K31" s="488">
        <f t="shared" si="4"/>
        <v>1236.4000000000001</v>
      </c>
    </row>
    <row r="32" spans="1:20" ht="15">
      <c r="A32" s="460">
        <f t="shared" si="0"/>
        <v>2009</v>
      </c>
      <c r="B32" s="461" t="str">
        <f t="shared" si="1"/>
        <v>2</v>
      </c>
      <c r="C32" s="69">
        <v>39965</v>
      </c>
      <c r="D32" s="463">
        <v>182.1</v>
      </c>
      <c r="E32" s="463">
        <v>301.39999999999998</v>
      </c>
      <c r="F32" s="463">
        <v>1719.9</v>
      </c>
      <c r="G32" s="463">
        <v>521.20000000000005</v>
      </c>
      <c r="H32" s="446">
        <v>1198.7</v>
      </c>
      <c r="I32" s="488">
        <f t="shared" si="2"/>
        <v>1845.375</v>
      </c>
      <c r="J32" s="488">
        <f t="shared" si="3"/>
        <v>609</v>
      </c>
      <c r="K32" s="488">
        <f t="shared" si="4"/>
        <v>1236.4000000000001</v>
      </c>
    </row>
    <row r="33" spans="1:11" ht="15">
      <c r="A33" s="460">
        <f t="shared" si="0"/>
        <v>2009</v>
      </c>
      <c r="B33" s="461" t="str">
        <f t="shared" si="1"/>
        <v>3</v>
      </c>
      <c r="C33" s="69">
        <v>40057</v>
      </c>
      <c r="D33" s="462">
        <v>201.8</v>
      </c>
      <c r="E33" s="462">
        <v>355.5</v>
      </c>
      <c r="F33" s="462">
        <v>2141</v>
      </c>
      <c r="G33" s="462">
        <v>719</v>
      </c>
      <c r="H33" s="445">
        <v>1422</v>
      </c>
      <c r="I33" s="488">
        <f t="shared" si="2"/>
        <v>1845.375</v>
      </c>
      <c r="J33" s="488">
        <f t="shared" si="3"/>
        <v>609</v>
      </c>
      <c r="K33" s="488">
        <f t="shared" si="4"/>
        <v>1236.4000000000001</v>
      </c>
    </row>
    <row r="34" spans="1:11" ht="15">
      <c r="A34" s="460">
        <f t="shared" si="0"/>
        <v>2009</v>
      </c>
      <c r="B34" s="461" t="str">
        <f t="shared" si="1"/>
        <v>4</v>
      </c>
      <c r="C34" s="69">
        <v>40148</v>
      </c>
      <c r="D34" s="463">
        <v>229</v>
      </c>
      <c r="E34" s="463">
        <v>349.7</v>
      </c>
      <c r="F34" s="463">
        <v>2294.1</v>
      </c>
      <c r="G34" s="463">
        <v>857.6</v>
      </c>
      <c r="H34" s="446">
        <v>1436.6</v>
      </c>
      <c r="I34" s="488">
        <f t="shared" si="2"/>
        <v>1845.375</v>
      </c>
      <c r="J34" s="488">
        <f t="shared" si="3"/>
        <v>609</v>
      </c>
      <c r="K34" s="488">
        <f t="shared" si="4"/>
        <v>1236.4000000000001</v>
      </c>
    </row>
    <row r="35" spans="1:11" ht="15">
      <c r="A35" s="460">
        <f t="shared" si="0"/>
        <v>2010</v>
      </c>
      <c r="B35" s="461" t="str">
        <f t="shared" si="1"/>
        <v>1</v>
      </c>
      <c r="C35" s="69">
        <v>40238</v>
      </c>
      <c r="D35" s="462">
        <v>173.4</v>
      </c>
      <c r="E35" s="462">
        <v>285.89999999999998</v>
      </c>
      <c r="F35" s="462">
        <v>1543.3</v>
      </c>
      <c r="G35" s="462">
        <v>547.5</v>
      </c>
      <c r="H35" s="445">
        <v>995.8</v>
      </c>
      <c r="I35" s="488">
        <f t="shared" si="2"/>
        <v>2177.25</v>
      </c>
      <c r="J35" s="488">
        <f t="shared" si="3"/>
        <v>829.5</v>
      </c>
      <c r="K35" s="488">
        <f t="shared" si="4"/>
        <v>1347.75</v>
      </c>
    </row>
    <row r="36" spans="1:11" ht="15">
      <c r="A36" s="460">
        <f t="shared" si="0"/>
        <v>2010</v>
      </c>
      <c r="B36" s="461" t="str">
        <f t="shared" si="1"/>
        <v>2</v>
      </c>
      <c r="C36" s="69">
        <v>40330</v>
      </c>
      <c r="D36" s="463">
        <v>249.2</v>
      </c>
      <c r="E36" s="463">
        <v>387.9</v>
      </c>
      <c r="F36" s="463">
        <v>2320.5</v>
      </c>
      <c r="G36" s="463">
        <v>930.4</v>
      </c>
      <c r="H36" s="446">
        <v>1390.1</v>
      </c>
      <c r="I36" s="488">
        <f t="shared" si="2"/>
        <v>2177.25</v>
      </c>
      <c r="J36" s="488">
        <f t="shared" si="3"/>
        <v>829.5</v>
      </c>
      <c r="K36" s="488">
        <f t="shared" si="4"/>
        <v>1347.75</v>
      </c>
    </row>
    <row r="37" spans="1:11" ht="15">
      <c r="A37" s="460">
        <f t="shared" si="0"/>
        <v>2010</v>
      </c>
      <c r="B37" s="461" t="str">
        <f t="shared" si="1"/>
        <v>3</v>
      </c>
      <c r="C37" s="69">
        <v>40422</v>
      </c>
      <c r="D37" s="462">
        <v>240.9</v>
      </c>
      <c r="E37" s="462">
        <v>428.5</v>
      </c>
      <c r="F37" s="462">
        <v>2463.1999999999998</v>
      </c>
      <c r="G37" s="462">
        <v>907.4</v>
      </c>
      <c r="H37" s="445">
        <v>1555.8</v>
      </c>
      <c r="I37" s="488">
        <f t="shared" si="2"/>
        <v>2177.25</v>
      </c>
      <c r="J37" s="488">
        <f t="shared" si="3"/>
        <v>829.5</v>
      </c>
      <c r="K37" s="488">
        <f t="shared" si="4"/>
        <v>1347.75</v>
      </c>
    </row>
    <row r="38" spans="1:11" ht="15">
      <c r="A38" s="460">
        <f t="shared" si="0"/>
        <v>2010</v>
      </c>
      <c r="B38" s="461" t="str">
        <f t="shared" si="1"/>
        <v>4</v>
      </c>
      <c r="C38" s="69">
        <v>40513</v>
      </c>
      <c r="D38" s="463">
        <v>289.5</v>
      </c>
      <c r="E38" s="463">
        <v>434.9</v>
      </c>
      <c r="F38" s="463">
        <v>2382</v>
      </c>
      <c r="G38" s="463">
        <v>932.7</v>
      </c>
      <c r="H38" s="446">
        <v>1449.3</v>
      </c>
      <c r="I38" s="488">
        <f t="shared" si="2"/>
        <v>2177.25</v>
      </c>
      <c r="J38" s="488">
        <f t="shared" si="3"/>
        <v>829.5</v>
      </c>
      <c r="K38" s="488">
        <f t="shared" si="4"/>
        <v>1347.75</v>
      </c>
    </row>
    <row r="39" spans="1:11" ht="15">
      <c r="A39" s="460">
        <f t="shared" si="0"/>
        <v>2011</v>
      </c>
      <c r="B39" s="461" t="str">
        <f t="shared" si="1"/>
        <v>1</v>
      </c>
      <c r="C39" s="69">
        <v>40603</v>
      </c>
      <c r="D39" s="462">
        <v>215</v>
      </c>
      <c r="E39" s="462">
        <v>435.1</v>
      </c>
      <c r="F39" s="462">
        <v>1978.9</v>
      </c>
      <c r="G39" s="462">
        <v>617.20000000000005</v>
      </c>
      <c r="H39" s="445">
        <v>1361.7</v>
      </c>
      <c r="I39" s="488">
        <f t="shared" si="2"/>
        <v>2741.9</v>
      </c>
      <c r="J39" s="488">
        <f t="shared" si="3"/>
        <v>910.57500000000005</v>
      </c>
      <c r="K39" s="488">
        <f t="shared" si="4"/>
        <v>1831.375</v>
      </c>
    </row>
    <row r="40" spans="1:11" ht="15">
      <c r="A40" s="460">
        <f t="shared" si="0"/>
        <v>2011</v>
      </c>
      <c r="B40" s="461" t="str">
        <f t="shared" si="1"/>
        <v>2</v>
      </c>
      <c r="C40" s="69">
        <v>40695</v>
      </c>
      <c r="D40" s="463">
        <v>292.10000000000002</v>
      </c>
      <c r="E40" s="463">
        <v>615.29999999999995</v>
      </c>
      <c r="F40" s="463">
        <v>2875.2</v>
      </c>
      <c r="G40" s="463">
        <v>979</v>
      </c>
      <c r="H40" s="446">
        <v>1896.3</v>
      </c>
      <c r="I40" s="488">
        <f t="shared" si="2"/>
        <v>2741.9</v>
      </c>
      <c r="J40" s="488">
        <f t="shared" si="3"/>
        <v>910.57500000000005</v>
      </c>
      <c r="K40" s="488">
        <f t="shared" si="4"/>
        <v>1831.375</v>
      </c>
    </row>
    <row r="41" spans="1:11" ht="15">
      <c r="A41" s="460">
        <f t="shared" si="0"/>
        <v>2011</v>
      </c>
      <c r="B41" s="461" t="str">
        <f t="shared" si="1"/>
        <v>3</v>
      </c>
      <c r="C41" s="69">
        <v>40787</v>
      </c>
      <c r="D41" s="462">
        <v>313.10000000000002</v>
      </c>
      <c r="E41" s="462">
        <v>670.3</v>
      </c>
      <c r="F41" s="462">
        <v>3157.9</v>
      </c>
      <c r="G41" s="462">
        <v>1037.7</v>
      </c>
      <c r="H41" s="445">
        <v>2120.3000000000002</v>
      </c>
      <c r="I41" s="488">
        <f t="shared" si="2"/>
        <v>2741.9</v>
      </c>
      <c r="J41" s="488">
        <f t="shared" si="3"/>
        <v>910.57500000000005</v>
      </c>
      <c r="K41" s="488">
        <f t="shared" si="4"/>
        <v>1831.375</v>
      </c>
    </row>
    <row r="42" spans="1:11" ht="15">
      <c r="A42" s="460">
        <f t="shared" si="0"/>
        <v>2011</v>
      </c>
      <c r="B42" s="461" t="str">
        <f t="shared" si="1"/>
        <v>4</v>
      </c>
      <c r="C42" s="69">
        <v>40878</v>
      </c>
      <c r="D42" s="463">
        <v>323.60000000000002</v>
      </c>
      <c r="E42" s="463">
        <v>708.8</v>
      </c>
      <c r="F42" s="463">
        <v>2955.6</v>
      </c>
      <c r="G42" s="463">
        <v>1008.4</v>
      </c>
      <c r="H42" s="446">
        <v>1947.2</v>
      </c>
      <c r="I42" s="488">
        <f t="shared" si="2"/>
        <v>2741.9</v>
      </c>
      <c r="J42" s="488">
        <f t="shared" si="3"/>
        <v>910.57500000000005</v>
      </c>
      <c r="K42" s="488">
        <f t="shared" si="4"/>
        <v>1831.375</v>
      </c>
    </row>
    <row r="43" spans="1:11" ht="15">
      <c r="A43" s="460">
        <f t="shared" si="0"/>
        <v>2012</v>
      </c>
      <c r="B43" s="461" t="str">
        <f t="shared" si="1"/>
        <v>1</v>
      </c>
      <c r="C43" s="69">
        <v>40969</v>
      </c>
      <c r="D43" s="462">
        <v>248.6</v>
      </c>
      <c r="E43" s="462">
        <v>627.5</v>
      </c>
      <c r="F43" s="462">
        <v>2271.6</v>
      </c>
      <c r="G43" s="462">
        <v>582.79999999999995</v>
      </c>
      <c r="H43" s="445">
        <v>1688.8</v>
      </c>
      <c r="I43" s="488">
        <f t="shared" si="2"/>
        <v>2547.0749999999998</v>
      </c>
      <c r="J43" s="488">
        <f t="shared" si="3"/>
        <v>818.625</v>
      </c>
      <c r="K43" s="488">
        <f t="shared" si="4"/>
        <v>1728.4749999999999</v>
      </c>
    </row>
    <row r="44" spans="1:11" ht="15">
      <c r="A44" s="460">
        <f t="shared" si="0"/>
        <v>2012</v>
      </c>
      <c r="B44" s="461" t="str">
        <f t="shared" si="1"/>
        <v>2</v>
      </c>
      <c r="C44" s="69">
        <v>41061</v>
      </c>
      <c r="D44" s="463">
        <v>357.7</v>
      </c>
      <c r="E44" s="463">
        <v>703.4</v>
      </c>
      <c r="F44" s="463">
        <v>3023.5</v>
      </c>
      <c r="G44" s="463">
        <v>1071.2</v>
      </c>
      <c r="H44" s="446">
        <v>1952.4</v>
      </c>
      <c r="I44" s="488">
        <f t="shared" si="2"/>
        <v>2547.0749999999998</v>
      </c>
      <c r="J44" s="488">
        <f t="shared" si="3"/>
        <v>818.625</v>
      </c>
      <c r="K44" s="488">
        <f t="shared" si="4"/>
        <v>1728.4749999999999</v>
      </c>
    </row>
    <row r="45" spans="1:11" ht="15">
      <c r="A45" s="460">
        <f t="shared" si="0"/>
        <v>2012</v>
      </c>
      <c r="B45" s="461" t="str">
        <f t="shared" si="1"/>
        <v>3</v>
      </c>
      <c r="C45" s="69">
        <v>41153</v>
      </c>
      <c r="D45" s="462">
        <v>303</v>
      </c>
      <c r="E45" s="462">
        <v>591.70000000000005</v>
      </c>
      <c r="F45" s="462">
        <v>2714.2</v>
      </c>
      <c r="G45" s="462">
        <v>943.1</v>
      </c>
      <c r="H45" s="445">
        <v>1771.1</v>
      </c>
      <c r="I45" s="488">
        <f t="shared" si="2"/>
        <v>2547.0749999999998</v>
      </c>
      <c r="J45" s="488">
        <f t="shared" si="3"/>
        <v>818.625</v>
      </c>
      <c r="K45" s="488">
        <f t="shared" si="4"/>
        <v>1728.4749999999999</v>
      </c>
    </row>
    <row r="46" spans="1:11" ht="15">
      <c r="A46" s="460">
        <f t="shared" si="0"/>
        <v>2012</v>
      </c>
      <c r="B46" s="461" t="str">
        <f t="shared" si="1"/>
        <v>4</v>
      </c>
      <c r="C46" s="69">
        <v>41244</v>
      </c>
      <c r="D46" s="463">
        <v>263.39999999999998</v>
      </c>
      <c r="E46" s="463">
        <v>560.6</v>
      </c>
      <c r="F46" s="463">
        <v>2179</v>
      </c>
      <c r="G46" s="463">
        <v>677.4</v>
      </c>
      <c r="H46" s="446">
        <v>1501.6</v>
      </c>
      <c r="I46" s="488">
        <f t="shared" si="2"/>
        <v>2547.0749999999998</v>
      </c>
      <c r="J46" s="488">
        <f t="shared" si="3"/>
        <v>818.625</v>
      </c>
      <c r="K46" s="488">
        <f t="shared" si="4"/>
        <v>1728.4749999999999</v>
      </c>
    </row>
    <row r="47" spans="1:11" ht="15">
      <c r="A47" s="460">
        <f t="shared" si="0"/>
        <v>2013</v>
      </c>
      <c r="B47" s="461" t="str">
        <f t="shared" si="1"/>
        <v>1</v>
      </c>
      <c r="C47" s="69">
        <v>41334</v>
      </c>
      <c r="D47" s="462">
        <v>176.3</v>
      </c>
      <c r="E47" s="462">
        <v>495.9</v>
      </c>
      <c r="F47" s="462">
        <v>1534.3</v>
      </c>
      <c r="G47" s="462">
        <v>416.7</v>
      </c>
      <c r="H47" s="445">
        <v>1117.5999999999999</v>
      </c>
      <c r="I47" s="488">
        <f t="shared" si="2"/>
        <v>1784.3000000000002</v>
      </c>
      <c r="J47" s="488">
        <f t="shared" si="3"/>
        <v>524.5</v>
      </c>
      <c r="K47" s="488">
        <f t="shared" si="4"/>
        <v>1259.8249999999998</v>
      </c>
    </row>
    <row r="48" spans="1:11" ht="15">
      <c r="A48" s="460">
        <f t="shared" si="0"/>
        <v>2013</v>
      </c>
      <c r="B48" s="461" t="str">
        <f t="shared" si="1"/>
        <v>2</v>
      </c>
      <c r="C48" s="69">
        <v>41426</v>
      </c>
      <c r="D48" s="463">
        <v>275.7</v>
      </c>
      <c r="E48" s="463">
        <v>388.9</v>
      </c>
      <c r="F48" s="463">
        <v>1992.5</v>
      </c>
      <c r="G48" s="463">
        <v>692.5</v>
      </c>
      <c r="H48" s="446">
        <v>1300</v>
      </c>
      <c r="I48" s="488">
        <f t="shared" si="2"/>
        <v>1784.3000000000002</v>
      </c>
      <c r="J48" s="488">
        <f t="shared" si="3"/>
        <v>524.5</v>
      </c>
      <c r="K48" s="488">
        <f t="shared" si="4"/>
        <v>1259.8249999999998</v>
      </c>
    </row>
    <row r="49" spans="1:16" ht="15">
      <c r="A49" s="460">
        <f t="shared" si="0"/>
        <v>2013</v>
      </c>
      <c r="B49" s="461" t="str">
        <f t="shared" si="1"/>
        <v>3</v>
      </c>
      <c r="C49" s="69">
        <v>41518</v>
      </c>
      <c r="D49" s="462">
        <v>241.9</v>
      </c>
      <c r="E49" s="462">
        <v>396.5</v>
      </c>
      <c r="F49" s="462">
        <v>1846.3</v>
      </c>
      <c r="G49" s="462">
        <v>592.70000000000005</v>
      </c>
      <c r="H49" s="445">
        <v>1253.5999999999999</v>
      </c>
      <c r="I49" s="488">
        <f t="shared" si="2"/>
        <v>1784.3000000000002</v>
      </c>
      <c r="J49" s="488">
        <f t="shared" si="3"/>
        <v>524.5</v>
      </c>
      <c r="K49" s="488">
        <f t="shared" si="4"/>
        <v>1259.8249999999998</v>
      </c>
      <c r="O49" s="464" t="s">
        <v>546</v>
      </c>
      <c r="P49" s="464" t="str">
        <f>CONCATENATE(O49,IF($O$68="Annual Average (Financial Year)",RIGHT($O$68,16),RIGHT($O$68,15)))</f>
        <v>New Deposits (Quarterly average over (Calendar Year)</v>
      </c>
    </row>
    <row r="50" spans="1:16" ht="15">
      <c r="A50" s="460">
        <f t="shared" si="0"/>
        <v>2013</v>
      </c>
      <c r="B50" s="461" t="str">
        <f t="shared" si="1"/>
        <v>4</v>
      </c>
      <c r="C50" s="69">
        <v>41609</v>
      </c>
      <c r="D50" s="463">
        <v>175.4</v>
      </c>
      <c r="E50" s="463">
        <v>372</v>
      </c>
      <c r="F50" s="463">
        <v>1764.1</v>
      </c>
      <c r="G50" s="463">
        <v>396.1</v>
      </c>
      <c r="H50" s="446">
        <v>1368.1</v>
      </c>
      <c r="I50" s="488">
        <f t="shared" si="2"/>
        <v>1784.3000000000002</v>
      </c>
      <c r="J50" s="488">
        <f t="shared" si="3"/>
        <v>524.5</v>
      </c>
      <c r="K50" s="488">
        <f t="shared" si="4"/>
        <v>1259.8249999999998</v>
      </c>
      <c r="O50" s="464" t="s">
        <v>547</v>
      </c>
      <c r="P50" s="464" t="str">
        <f t="shared" ref="P50:P51" si="5">CONCATENATE(O50,IF($O$68="Annual Average (Financial Year)",RIGHT($O$68,16),RIGHT($O$68,15)))</f>
        <v>Existing Deposits (Quarterly average over (Calendar Year)</v>
      </c>
    </row>
    <row r="51" spans="1:16" ht="15">
      <c r="A51" s="460">
        <f t="shared" si="0"/>
        <v>2014</v>
      </c>
      <c r="B51" s="461" t="str">
        <f t="shared" si="1"/>
        <v>1</v>
      </c>
      <c r="C51" s="69">
        <v>41699</v>
      </c>
      <c r="D51" s="462">
        <v>121</v>
      </c>
      <c r="E51" s="462">
        <v>287</v>
      </c>
      <c r="F51" s="462">
        <v>1148.0999999999999</v>
      </c>
      <c r="G51" s="462">
        <v>300</v>
      </c>
      <c r="H51" s="445">
        <v>848.1</v>
      </c>
      <c r="I51" s="488">
        <f t="shared" si="2"/>
        <v>1531.25</v>
      </c>
      <c r="J51" s="488">
        <f t="shared" si="3"/>
        <v>374.47500000000002</v>
      </c>
      <c r="K51" s="488">
        <f t="shared" si="4"/>
        <v>1156.7749999999999</v>
      </c>
      <c r="O51" s="464" t="s">
        <v>548</v>
      </c>
      <c r="P51" s="464" t="str">
        <f t="shared" si="5"/>
        <v>Total (Quarterly average over (Calendar Year)</v>
      </c>
    </row>
    <row r="52" spans="1:16" ht="15">
      <c r="A52" s="460">
        <f t="shared" si="0"/>
        <v>2014</v>
      </c>
      <c r="B52" s="461" t="str">
        <f t="shared" si="1"/>
        <v>2</v>
      </c>
      <c r="C52" s="69">
        <v>41791</v>
      </c>
      <c r="D52" s="463">
        <v>144</v>
      </c>
      <c r="E52" s="463">
        <v>371</v>
      </c>
      <c r="F52" s="463">
        <v>1694.8</v>
      </c>
      <c r="G52" s="463">
        <v>308.8</v>
      </c>
      <c r="H52" s="446">
        <v>1386</v>
      </c>
      <c r="I52" s="488">
        <f t="shared" si="2"/>
        <v>1531.25</v>
      </c>
      <c r="J52" s="488">
        <f t="shared" si="3"/>
        <v>374.47500000000002</v>
      </c>
      <c r="K52" s="488">
        <f t="shared" si="4"/>
        <v>1156.7749999999999</v>
      </c>
    </row>
    <row r="53" spans="1:16" ht="15">
      <c r="A53" s="460">
        <f t="shared" si="0"/>
        <v>2014</v>
      </c>
      <c r="B53" s="461" t="str">
        <f t="shared" si="1"/>
        <v>3</v>
      </c>
      <c r="C53" s="69">
        <v>41883</v>
      </c>
      <c r="D53" s="462">
        <v>129.69999999999999</v>
      </c>
      <c r="E53" s="462">
        <v>328.1</v>
      </c>
      <c r="F53" s="462">
        <v>1669</v>
      </c>
      <c r="G53" s="462">
        <v>397.2</v>
      </c>
      <c r="H53" s="445">
        <v>1271.8</v>
      </c>
      <c r="I53" s="488">
        <f t="shared" si="2"/>
        <v>1531.25</v>
      </c>
      <c r="J53" s="488">
        <f t="shared" si="3"/>
        <v>374.47500000000002</v>
      </c>
      <c r="K53" s="488">
        <f t="shared" si="4"/>
        <v>1156.7749999999999</v>
      </c>
    </row>
    <row r="54" spans="1:16" ht="15">
      <c r="A54" s="460">
        <f t="shared" si="0"/>
        <v>2014</v>
      </c>
      <c r="B54" s="461" t="str">
        <f t="shared" si="1"/>
        <v>4</v>
      </c>
      <c r="C54" s="69">
        <v>41974</v>
      </c>
      <c r="D54" s="463">
        <v>150.80000000000001</v>
      </c>
      <c r="E54" s="463">
        <v>308.5</v>
      </c>
      <c r="F54" s="463">
        <v>1613.1</v>
      </c>
      <c r="G54" s="463">
        <v>491.9</v>
      </c>
      <c r="H54" s="446">
        <v>1121.2</v>
      </c>
      <c r="I54" s="488">
        <f t="shared" si="2"/>
        <v>1531.25</v>
      </c>
      <c r="J54" s="488">
        <f t="shared" si="3"/>
        <v>374.47500000000002</v>
      </c>
      <c r="K54" s="488">
        <f t="shared" si="4"/>
        <v>1156.7749999999999</v>
      </c>
    </row>
    <row r="55" spans="1:16" ht="15">
      <c r="A55" s="460">
        <f t="shared" si="0"/>
        <v>2015</v>
      </c>
      <c r="B55" s="461" t="str">
        <f t="shared" si="1"/>
        <v>1</v>
      </c>
      <c r="C55" s="69">
        <v>42064</v>
      </c>
      <c r="D55" s="462">
        <v>91.1</v>
      </c>
      <c r="E55" s="462">
        <v>226.6</v>
      </c>
      <c r="F55" s="462">
        <v>1140.7</v>
      </c>
      <c r="G55" s="462">
        <v>242.1</v>
      </c>
      <c r="H55" s="445">
        <v>898.6</v>
      </c>
      <c r="I55" s="488">
        <f t="shared" si="2"/>
        <v>1484.175</v>
      </c>
      <c r="J55" s="488">
        <f t="shared" si="3"/>
        <v>365.92500000000001</v>
      </c>
      <c r="K55" s="488">
        <f t="shared" si="4"/>
        <v>1118.7</v>
      </c>
    </row>
    <row r="56" spans="1:16" ht="15">
      <c r="A56" s="460">
        <f t="shared" si="0"/>
        <v>2015</v>
      </c>
      <c r="B56" s="461" t="str">
        <f t="shared" si="1"/>
        <v>2</v>
      </c>
      <c r="C56" s="69">
        <v>42156</v>
      </c>
      <c r="D56" s="463">
        <v>114.5</v>
      </c>
      <c r="E56" s="463">
        <v>230.1</v>
      </c>
      <c r="F56" s="463">
        <v>1540.2</v>
      </c>
      <c r="G56" s="463">
        <v>438.1</v>
      </c>
      <c r="H56" s="446">
        <v>1103.3</v>
      </c>
      <c r="I56" s="488">
        <f t="shared" ref="I56:I119" si="6">IF($I$8=$T$12,IF(B56="3",AVERAGE(F56:F59),IF(B56="4",AVERAGE(F55:F58),IF(B56="1",AVERAGE(F54:F57),AVERAGE(F53:F56)))),AVERAGEIF($A$9:$A$150,A56,$F$9:$F$150))</f>
        <v>1484.175</v>
      </c>
      <c r="J56" s="488">
        <f t="shared" ref="J56:J119" si="7">IF($J$8=$T$12,IF(B56="3",AVERAGE(G56:G59),IF(B56="4",AVERAGE(G55:G58),IF(B56="1",AVERAGE(G54:G57),AVERAGE(G53:G56)))),AVERAGEIF($A$9:$A$150,A56,$G$9:$G$150))</f>
        <v>365.92500000000001</v>
      </c>
      <c r="K56" s="488">
        <f t="shared" ref="K56:K119" si="8">IF($K$8=$T$12,IF(B56="3",AVERAGE(H56:H59),IF(B56="4",AVERAGE(H55:H58),IF(B56="1",AVERAGE(H54:H57),AVERAGE(H53:H56)))),AVERAGEIF($A$9:$A$150,A56,$H$9:$H$150))</f>
        <v>1118.7</v>
      </c>
    </row>
    <row r="57" spans="1:16" ht="15">
      <c r="A57" s="460">
        <f t="shared" si="0"/>
        <v>2015</v>
      </c>
      <c r="B57" s="461" t="str">
        <f t="shared" si="1"/>
        <v>3</v>
      </c>
      <c r="C57" s="69">
        <v>42248</v>
      </c>
      <c r="D57" s="462">
        <v>114.9</v>
      </c>
      <c r="E57" s="462">
        <v>279.10000000000002</v>
      </c>
      <c r="F57" s="462">
        <v>1573.5</v>
      </c>
      <c r="G57" s="462">
        <v>341.1</v>
      </c>
      <c r="H57" s="445">
        <v>1232.7</v>
      </c>
      <c r="I57" s="488">
        <f t="shared" si="6"/>
        <v>1484.175</v>
      </c>
      <c r="J57" s="488">
        <f t="shared" si="7"/>
        <v>365.92500000000001</v>
      </c>
      <c r="K57" s="488">
        <f t="shared" si="8"/>
        <v>1118.7</v>
      </c>
    </row>
    <row r="58" spans="1:16" ht="15">
      <c r="A58" s="460">
        <f t="shared" si="0"/>
        <v>2015</v>
      </c>
      <c r="B58" s="461" t="str">
        <f t="shared" si="1"/>
        <v>4</v>
      </c>
      <c r="C58" s="69">
        <v>42339</v>
      </c>
      <c r="D58" s="463">
        <v>105.6</v>
      </c>
      <c r="E58" s="463">
        <v>277.3</v>
      </c>
      <c r="F58" s="463">
        <v>1682.3</v>
      </c>
      <c r="G58" s="463">
        <v>442.4</v>
      </c>
      <c r="H58" s="446">
        <v>1240.2</v>
      </c>
      <c r="I58" s="488">
        <f t="shared" si="6"/>
        <v>1484.175</v>
      </c>
      <c r="J58" s="488">
        <f t="shared" si="7"/>
        <v>365.92500000000001</v>
      </c>
      <c r="K58" s="488">
        <f t="shared" si="8"/>
        <v>1118.7</v>
      </c>
    </row>
    <row r="59" spans="1:16" ht="15">
      <c r="A59" s="460">
        <f t="shared" si="0"/>
        <v>2016</v>
      </c>
      <c r="B59" s="461" t="str">
        <f t="shared" si="1"/>
        <v>1</v>
      </c>
      <c r="C59" s="69">
        <v>42430</v>
      </c>
      <c r="D59" s="462">
        <v>87.1</v>
      </c>
      <c r="E59" s="462">
        <v>203.2</v>
      </c>
      <c r="F59" s="462">
        <v>1301.3</v>
      </c>
      <c r="G59" s="462">
        <v>306.60000000000002</v>
      </c>
      <c r="H59" s="445">
        <v>994.8</v>
      </c>
      <c r="I59" s="488">
        <f t="shared" si="6"/>
        <v>1683.85</v>
      </c>
      <c r="J59" s="488">
        <f t="shared" si="7"/>
        <v>480.65000000000003</v>
      </c>
      <c r="K59" s="488">
        <f t="shared" si="8"/>
        <v>1203.25</v>
      </c>
    </row>
    <row r="60" spans="1:16" ht="15.75" thickBot="1">
      <c r="A60" s="460">
        <f t="shared" ref="A60:A79" si="9">YEAR(C60)</f>
        <v>2016</v>
      </c>
      <c r="B60" s="461" t="str">
        <f t="shared" ref="B60:B79" si="10">IF(MONTH(C60)&lt;4,"1",IF(MONTH(C60)&lt;7,"2",IF(MONTH(C60)&lt;10,"3","4")))</f>
        <v>2</v>
      </c>
      <c r="C60" s="526">
        <v>42522</v>
      </c>
      <c r="D60" s="463">
        <v>104.1</v>
      </c>
      <c r="E60" s="463">
        <v>249.8</v>
      </c>
      <c r="F60" s="463">
        <v>1794.6</v>
      </c>
      <c r="G60" s="463">
        <v>418.2</v>
      </c>
      <c r="H60" s="463">
        <v>1376.4</v>
      </c>
      <c r="I60" s="466"/>
      <c r="J60" s="466"/>
      <c r="K60" s="466"/>
    </row>
    <row r="61" spans="1:16" ht="15">
      <c r="A61" s="460">
        <f t="shared" si="9"/>
        <v>2016</v>
      </c>
      <c r="B61" s="461" t="str">
        <f t="shared" si="10"/>
        <v>3</v>
      </c>
      <c r="C61" s="69">
        <v>42614</v>
      </c>
      <c r="D61" s="462">
        <v>113.8</v>
      </c>
      <c r="E61" s="462">
        <v>265.60000000000002</v>
      </c>
      <c r="F61" s="462">
        <v>1796.9</v>
      </c>
      <c r="G61" s="462">
        <v>539.1</v>
      </c>
      <c r="H61" s="445">
        <v>1257.9000000000001</v>
      </c>
      <c r="I61" s="488">
        <f t="shared" si="6"/>
        <v>1683.85</v>
      </c>
      <c r="J61" s="488">
        <f t="shared" si="7"/>
        <v>480.65000000000003</v>
      </c>
      <c r="K61" s="488">
        <f t="shared" si="8"/>
        <v>1203.25</v>
      </c>
    </row>
    <row r="62" spans="1:16" ht="15.75" thickBot="1">
      <c r="A62" s="460">
        <f t="shared" si="9"/>
        <v>2016</v>
      </c>
      <c r="B62" s="461" t="str">
        <f t="shared" si="10"/>
        <v>4</v>
      </c>
      <c r="C62" s="71">
        <v>42705</v>
      </c>
      <c r="D62" s="465">
        <v>130.9</v>
      </c>
      <c r="E62" s="465">
        <v>272.3</v>
      </c>
      <c r="F62" s="465">
        <v>1842.6</v>
      </c>
      <c r="G62" s="465">
        <v>658.7</v>
      </c>
      <c r="H62" s="466">
        <v>1183.9000000000001</v>
      </c>
      <c r="I62" s="488">
        <f t="shared" si="6"/>
        <v>1683.85</v>
      </c>
      <c r="J62" s="488">
        <f t="shared" si="7"/>
        <v>480.65000000000003</v>
      </c>
      <c r="K62" s="488">
        <f t="shared" si="8"/>
        <v>1203.25</v>
      </c>
    </row>
    <row r="63" spans="1:16" ht="15">
      <c r="A63" s="460">
        <f t="shared" si="9"/>
        <v>1900</v>
      </c>
      <c r="B63" s="461" t="str">
        <f t="shared" si="10"/>
        <v>1</v>
      </c>
      <c r="I63" s="488" t="e">
        <f t="shared" si="6"/>
        <v>#DIV/0!</v>
      </c>
      <c r="J63" s="488" t="e">
        <f t="shared" si="7"/>
        <v>#DIV/0!</v>
      </c>
      <c r="K63" s="488" t="e">
        <f t="shared" si="8"/>
        <v>#DIV/0!</v>
      </c>
    </row>
    <row r="64" spans="1:16" ht="15">
      <c r="A64" s="460">
        <f t="shared" si="9"/>
        <v>1900</v>
      </c>
      <c r="B64" s="461" t="str">
        <f t="shared" si="10"/>
        <v>1</v>
      </c>
      <c r="I64" s="488" t="e">
        <f t="shared" si="6"/>
        <v>#DIV/0!</v>
      </c>
      <c r="J64" s="488" t="e">
        <f t="shared" si="7"/>
        <v>#DIV/0!</v>
      </c>
      <c r="K64" s="488" t="e">
        <f t="shared" si="8"/>
        <v>#DIV/0!</v>
      </c>
    </row>
    <row r="65" spans="1:17" ht="15">
      <c r="A65" s="460">
        <f t="shared" si="9"/>
        <v>1900</v>
      </c>
      <c r="B65" s="461" t="str">
        <f t="shared" si="10"/>
        <v>1</v>
      </c>
      <c r="I65" s="488" t="e">
        <f t="shared" si="6"/>
        <v>#DIV/0!</v>
      </c>
      <c r="J65" s="488" t="e">
        <f t="shared" si="7"/>
        <v>#DIV/0!</v>
      </c>
      <c r="K65" s="488" t="e">
        <f t="shared" si="8"/>
        <v>#DIV/0!</v>
      </c>
    </row>
    <row r="66" spans="1:17" ht="15.75" thickBot="1">
      <c r="A66" s="460">
        <f t="shared" si="9"/>
        <v>1900</v>
      </c>
      <c r="B66" s="461" t="str">
        <f t="shared" si="10"/>
        <v>1</v>
      </c>
      <c r="I66" s="488" t="e">
        <f t="shared" si="6"/>
        <v>#DIV/0!</v>
      </c>
      <c r="J66" s="488" t="e">
        <f t="shared" si="7"/>
        <v>#DIV/0!</v>
      </c>
      <c r="K66" s="488" t="e">
        <f t="shared" si="8"/>
        <v>#DIV/0!</v>
      </c>
    </row>
    <row r="67" spans="1:17" ht="15">
      <c r="A67" s="460">
        <f t="shared" si="9"/>
        <v>1900</v>
      </c>
      <c r="B67" s="461" t="str">
        <f t="shared" si="10"/>
        <v>1</v>
      </c>
      <c r="I67" s="488" t="e">
        <f t="shared" si="6"/>
        <v>#DIV/0!</v>
      </c>
      <c r="J67" s="488" t="e">
        <f t="shared" si="7"/>
        <v>#DIV/0!</v>
      </c>
      <c r="K67" s="488" t="e">
        <f t="shared" si="8"/>
        <v>#DIV/0!</v>
      </c>
      <c r="O67" s="639" t="s">
        <v>452</v>
      </c>
      <c r="P67" s="640"/>
      <c r="Q67" s="641"/>
    </row>
    <row r="68" spans="1:17" ht="15.75" thickBot="1">
      <c r="A68" s="460">
        <f t="shared" si="9"/>
        <v>1900</v>
      </c>
      <c r="B68" s="461" t="str">
        <f t="shared" si="10"/>
        <v>1</v>
      </c>
      <c r="D68" s="479"/>
      <c r="E68" s="479"/>
      <c r="F68" s="479"/>
      <c r="G68" s="479"/>
      <c r="H68" s="479"/>
      <c r="I68" s="488" t="e">
        <f t="shared" si="6"/>
        <v>#DIV/0!</v>
      </c>
      <c r="J68" s="488" t="e">
        <f t="shared" si="7"/>
        <v>#DIV/0!</v>
      </c>
      <c r="K68" s="488" t="e">
        <f t="shared" si="8"/>
        <v>#DIV/0!</v>
      </c>
      <c r="O68" s="642" t="s">
        <v>451</v>
      </c>
      <c r="P68" s="643"/>
      <c r="Q68" s="644"/>
    </row>
    <row r="69" spans="1:17" ht="15">
      <c r="A69" s="460">
        <f t="shared" si="9"/>
        <v>1900</v>
      </c>
      <c r="B69" s="461" t="str">
        <f t="shared" si="10"/>
        <v>1</v>
      </c>
      <c r="D69" s="479"/>
      <c r="E69" s="479"/>
      <c r="F69" s="479"/>
      <c r="G69" s="479"/>
      <c r="H69" s="479"/>
      <c r="I69" s="488" t="e">
        <f t="shared" si="6"/>
        <v>#DIV/0!</v>
      </c>
      <c r="J69" s="488" t="e">
        <f t="shared" si="7"/>
        <v>#DIV/0!</v>
      </c>
      <c r="K69" s="488" t="e">
        <f t="shared" si="8"/>
        <v>#DIV/0!</v>
      </c>
    </row>
    <row r="70" spans="1:17" ht="15">
      <c r="A70" s="460">
        <f t="shared" si="9"/>
        <v>1900</v>
      </c>
      <c r="B70" s="461" t="str">
        <f t="shared" si="10"/>
        <v>1</v>
      </c>
      <c r="I70" s="488" t="e">
        <f t="shared" si="6"/>
        <v>#DIV/0!</v>
      </c>
      <c r="J70" s="488" t="e">
        <f t="shared" si="7"/>
        <v>#DIV/0!</v>
      </c>
      <c r="K70" s="488" t="e">
        <f t="shared" si="8"/>
        <v>#DIV/0!</v>
      </c>
    </row>
    <row r="71" spans="1:17" ht="15">
      <c r="A71" s="460">
        <f t="shared" si="9"/>
        <v>1900</v>
      </c>
      <c r="B71" s="461" t="str">
        <f t="shared" si="10"/>
        <v>1</v>
      </c>
      <c r="I71" s="488" t="e">
        <f t="shared" si="6"/>
        <v>#DIV/0!</v>
      </c>
      <c r="J71" s="488" t="e">
        <f t="shared" si="7"/>
        <v>#DIV/0!</v>
      </c>
      <c r="K71" s="488" t="e">
        <f t="shared" si="8"/>
        <v>#DIV/0!</v>
      </c>
    </row>
    <row r="72" spans="1:17" ht="15">
      <c r="A72" s="460">
        <f t="shared" si="9"/>
        <v>1900</v>
      </c>
      <c r="B72" s="461" t="str">
        <f t="shared" si="10"/>
        <v>1</v>
      </c>
      <c r="I72" s="488" t="e">
        <f t="shared" si="6"/>
        <v>#DIV/0!</v>
      </c>
      <c r="J72" s="488" t="e">
        <f t="shared" si="7"/>
        <v>#DIV/0!</v>
      </c>
      <c r="K72" s="488" t="e">
        <f t="shared" si="8"/>
        <v>#DIV/0!</v>
      </c>
    </row>
    <row r="73" spans="1:17" ht="15">
      <c r="A73" s="460">
        <f t="shared" si="9"/>
        <v>1900</v>
      </c>
      <c r="B73" s="461" t="str">
        <f t="shared" si="10"/>
        <v>1</v>
      </c>
      <c r="I73" s="488" t="e">
        <f t="shared" si="6"/>
        <v>#DIV/0!</v>
      </c>
      <c r="J73" s="488" t="e">
        <f t="shared" si="7"/>
        <v>#DIV/0!</v>
      </c>
      <c r="K73" s="488" t="e">
        <f t="shared" si="8"/>
        <v>#DIV/0!</v>
      </c>
    </row>
    <row r="74" spans="1:17" ht="15">
      <c r="A74" s="460">
        <f t="shared" si="9"/>
        <v>1900</v>
      </c>
      <c r="B74" s="461" t="str">
        <f t="shared" si="10"/>
        <v>1</v>
      </c>
      <c r="I74" s="488" t="e">
        <f t="shared" si="6"/>
        <v>#DIV/0!</v>
      </c>
      <c r="J74" s="488" t="e">
        <f t="shared" si="7"/>
        <v>#DIV/0!</v>
      </c>
      <c r="K74" s="488" t="e">
        <f t="shared" si="8"/>
        <v>#DIV/0!</v>
      </c>
    </row>
    <row r="75" spans="1:17" ht="15">
      <c r="A75" s="460">
        <f t="shared" si="9"/>
        <v>1900</v>
      </c>
      <c r="B75" s="461" t="str">
        <f t="shared" si="10"/>
        <v>1</v>
      </c>
      <c r="I75" s="488" t="e">
        <f t="shared" si="6"/>
        <v>#DIV/0!</v>
      </c>
      <c r="J75" s="488" t="e">
        <f t="shared" si="7"/>
        <v>#DIV/0!</v>
      </c>
      <c r="K75" s="488" t="e">
        <f t="shared" si="8"/>
        <v>#DIV/0!</v>
      </c>
    </row>
    <row r="76" spans="1:17" ht="15">
      <c r="A76" s="460">
        <f t="shared" si="9"/>
        <v>1900</v>
      </c>
      <c r="B76" s="461" t="str">
        <f t="shared" si="10"/>
        <v>1</v>
      </c>
      <c r="I76" s="488" t="e">
        <f t="shared" si="6"/>
        <v>#DIV/0!</v>
      </c>
      <c r="J76" s="488" t="e">
        <f t="shared" si="7"/>
        <v>#DIV/0!</v>
      </c>
      <c r="K76" s="488" t="e">
        <f t="shared" si="8"/>
        <v>#DIV/0!</v>
      </c>
    </row>
    <row r="77" spans="1:17" ht="15">
      <c r="A77" s="460">
        <f t="shared" si="9"/>
        <v>1900</v>
      </c>
      <c r="B77" s="461" t="str">
        <f t="shared" si="10"/>
        <v>1</v>
      </c>
      <c r="I77" s="488" t="e">
        <f t="shared" si="6"/>
        <v>#DIV/0!</v>
      </c>
      <c r="J77" s="488" t="e">
        <f t="shared" si="7"/>
        <v>#DIV/0!</v>
      </c>
      <c r="K77" s="488" t="e">
        <f t="shared" si="8"/>
        <v>#DIV/0!</v>
      </c>
    </row>
    <row r="78" spans="1:17" ht="15">
      <c r="A78" s="460">
        <f t="shared" si="9"/>
        <v>1900</v>
      </c>
      <c r="B78" s="461" t="str">
        <f t="shared" si="10"/>
        <v>1</v>
      </c>
      <c r="I78" s="488" t="e">
        <f t="shared" si="6"/>
        <v>#DIV/0!</v>
      </c>
      <c r="J78" s="488" t="e">
        <f t="shared" si="7"/>
        <v>#DIV/0!</v>
      </c>
      <c r="K78" s="488" t="e">
        <f t="shared" si="8"/>
        <v>#DIV/0!</v>
      </c>
    </row>
    <row r="79" spans="1:17" ht="15">
      <c r="A79" s="460">
        <f t="shared" si="9"/>
        <v>1900</v>
      </c>
      <c r="B79" s="461" t="str">
        <f t="shared" si="10"/>
        <v>1</v>
      </c>
      <c r="I79" s="488" t="e">
        <f t="shared" si="6"/>
        <v>#DIV/0!</v>
      </c>
      <c r="J79" s="488" t="e">
        <f t="shared" si="7"/>
        <v>#DIV/0!</v>
      </c>
      <c r="K79" s="488" t="e">
        <f t="shared" si="8"/>
        <v>#DIV/0!</v>
      </c>
    </row>
    <row r="80" spans="1:17" ht="15">
      <c r="A80" s="460">
        <f t="shared" ref="A80:A143" si="11">YEAR(C80)</f>
        <v>1900</v>
      </c>
      <c r="B80" s="461" t="str">
        <f t="shared" ref="B80:B143" si="12">IF(MONTH(C80)&lt;4,"1",IF(MONTH(C80)&lt;7,"2",IF(MONTH(C80)&lt;10,"3","4")))</f>
        <v>1</v>
      </c>
      <c r="I80" s="488" t="e">
        <f t="shared" si="6"/>
        <v>#DIV/0!</v>
      </c>
      <c r="J80" s="488" t="e">
        <f t="shared" si="7"/>
        <v>#DIV/0!</v>
      </c>
      <c r="K80" s="488" t="e">
        <f t="shared" si="8"/>
        <v>#DIV/0!</v>
      </c>
    </row>
    <row r="81" spans="1:11" ht="15">
      <c r="A81" s="460">
        <f t="shared" si="11"/>
        <v>1900</v>
      </c>
      <c r="B81" s="461" t="str">
        <f t="shared" si="12"/>
        <v>1</v>
      </c>
      <c r="I81" s="488" t="e">
        <f t="shared" si="6"/>
        <v>#DIV/0!</v>
      </c>
      <c r="J81" s="488" t="e">
        <f t="shared" si="7"/>
        <v>#DIV/0!</v>
      </c>
      <c r="K81" s="488" t="e">
        <f t="shared" si="8"/>
        <v>#DIV/0!</v>
      </c>
    </row>
    <row r="82" spans="1:11" ht="15">
      <c r="A82" s="460">
        <f t="shared" si="11"/>
        <v>1900</v>
      </c>
      <c r="B82" s="461" t="str">
        <f t="shared" si="12"/>
        <v>1</v>
      </c>
      <c r="I82" s="488" t="e">
        <f t="shared" si="6"/>
        <v>#DIV/0!</v>
      </c>
      <c r="J82" s="488" t="e">
        <f t="shared" si="7"/>
        <v>#DIV/0!</v>
      </c>
      <c r="K82" s="488" t="e">
        <f t="shared" si="8"/>
        <v>#DIV/0!</v>
      </c>
    </row>
    <row r="83" spans="1:11" ht="15">
      <c r="A83" s="460">
        <f t="shared" si="11"/>
        <v>1900</v>
      </c>
      <c r="B83" s="461" t="str">
        <f t="shared" si="12"/>
        <v>1</v>
      </c>
      <c r="I83" s="488" t="e">
        <f t="shared" si="6"/>
        <v>#DIV/0!</v>
      </c>
      <c r="J83" s="488" t="e">
        <f t="shared" si="7"/>
        <v>#DIV/0!</v>
      </c>
      <c r="K83" s="488" t="e">
        <f t="shared" si="8"/>
        <v>#DIV/0!</v>
      </c>
    </row>
    <row r="84" spans="1:11" ht="15">
      <c r="A84" s="460">
        <f t="shared" si="11"/>
        <v>1900</v>
      </c>
      <c r="B84" s="461" t="str">
        <f t="shared" si="12"/>
        <v>1</v>
      </c>
      <c r="I84" s="488" t="e">
        <f t="shared" si="6"/>
        <v>#DIV/0!</v>
      </c>
      <c r="J84" s="488" t="e">
        <f t="shared" si="7"/>
        <v>#DIV/0!</v>
      </c>
      <c r="K84" s="488" t="e">
        <f t="shared" si="8"/>
        <v>#DIV/0!</v>
      </c>
    </row>
    <row r="85" spans="1:11" ht="15">
      <c r="A85" s="460">
        <f t="shared" si="11"/>
        <v>1900</v>
      </c>
      <c r="B85" s="461" t="str">
        <f t="shared" si="12"/>
        <v>1</v>
      </c>
      <c r="I85" s="488" t="e">
        <f t="shared" si="6"/>
        <v>#DIV/0!</v>
      </c>
      <c r="J85" s="488" t="e">
        <f t="shared" si="7"/>
        <v>#DIV/0!</v>
      </c>
      <c r="K85" s="488" t="e">
        <f t="shared" si="8"/>
        <v>#DIV/0!</v>
      </c>
    </row>
    <row r="86" spans="1:11" ht="15">
      <c r="A86" s="460">
        <f t="shared" si="11"/>
        <v>1900</v>
      </c>
      <c r="B86" s="461" t="str">
        <f t="shared" si="12"/>
        <v>1</v>
      </c>
      <c r="I86" s="488" t="e">
        <f t="shared" si="6"/>
        <v>#DIV/0!</v>
      </c>
      <c r="J86" s="488" t="e">
        <f t="shared" si="7"/>
        <v>#DIV/0!</v>
      </c>
      <c r="K86" s="488" t="e">
        <f t="shared" si="8"/>
        <v>#DIV/0!</v>
      </c>
    </row>
    <row r="87" spans="1:11" ht="15">
      <c r="A87" s="460">
        <f t="shared" si="11"/>
        <v>1900</v>
      </c>
      <c r="B87" s="461" t="str">
        <f t="shared" si="12"/>
        <v>1</v>
      </c>
      <c r="I87" s="488" t="e">
        <f t="shared" si="6"/>
        <v>#DIV/0!</v>
      </c>
      <c r="J87" s="488" t="e">
        <f t="shared" si="7"/>
        <v>#DIV/0!</v>
      </c>
      <c r="K87" s="488" t="e">
        <f t="shared" si="8"/>
        <v>#DIV/0!</v>
      </c>
    </row>
    <row r="88" spans="1:11" ht="15">
      <c r="A88" s="460">
        <f t="shared" si="11"/>
        <v>1900</v>
      </c>
      <c r="B88" s="461" t="str">
        <f t="shared" si="12"/>
        <v>1</v>
      </c>
      <c r="I88" s="488" t="e">
        <f t="shared" si="6"/>
        <v>#DIV/0!</v>
      </c>
      <c r="J88" s="488" t="e">
        <f t="shared" si="7"/>
        <v>#DIV/0!</v>
      </c>
      <c r="K88" s="488" t="e">
        <f t="shared" si="8"/>
        <v>#DIV/0!</v>
      </c>
    </row>
    <row r="89" spans="1:11" ht="15">
      <c r="A89" s="460">
        <f t="shared" si="11"/>
        <v>1900</v>
      </c>
      <c r="B89" s="461" t="str">
        <f t="shared" si="12"/>
        <v>1</v>
      </c>
      <c r="I89" s="488" t="e">
        <f t="shared" si="6"/>
        <v>#DIV/0!</v>
      </c>
      <c r="J89" s="488" t="e">
        <f t="shared" si="7"/>
        <v>#DIV/0!</v>
      </c>
      <c r="K89" s="488" t="e">
        <f t="shared" si="8"/>
        <v>#DIV/0!</v>
      </c>
    </row>
    <row r="90" spans="1:11" ht="15">
      <c r="A90" s="460">
        <f t="shared" si="11"/>
        <v>1900</v>
      </c>
      <c r="B90" s="461" t="str">
        <f t="shared" si="12"/>
        <v>1</v>
      </c>
      <c r="I90" s="488" t="e">
        <f t="shared" si="6"/>
        <v>#DIV/0!</v>
      </c>
      <c r="J90" s="488" t="e">
        <f t="shared" si="7"/>
        <v>#DIV/0!</v>
      </c>
      <c r="K90" s="488" t="e">
        <f t="shared" si="8"/>
        <v>#DIV/0!</v>
      </c>
    </row>
    <row r="91" spans="1:11" ht="15">
      <c r="A91" s="460">
        <f t="shared" si="11"/>
        <v>1900</v>
      </c>
      <c r="B91" s="461" t="str">
        <f t="shared" si="12"/>
        <v>1</v>
      </c>
      <c r="I91" s="488" t="e">
        <f t="shared" si="6"/>
        <v>#DIV/0!</v>
      </c>
      <c r="J91" s="488" t="e">
        <f t="shared" si="7"/>
        <v>#DIV/0!</v>
      </c>
      <c r="K91" s="488" t="e">
        <f t="shared" si="8"/>
        <v>#DIV/0!</v>
      </c>
    </row>
    <row r="92" spans="1:11" ht="15">
      <c r="A92" s="460">
        <f t="shared" si="11"/>
        <v>1900</v>
      </c>
      <c r="B92" s="461" t="str">
        <f t="shared" si="12"/>
        <v>1</v>
      </c>
      <c r="I92" s="488" t="e">
        <f t="shared" si="6"/>
        <v>#DIV/0!</v>
      </c>
      <c r="J92" s="488" t="e">
        <f t="shared" si="7"/>
        <v>#DIV/0!</v>
      </c>
      <c r="K92" s="488" t="e">
        <f t="shared" si="8"/>
        <v>#DIV/0!</v>
      </c>
    </row>
    <row r="93" spans="1:11" ht="15">
      <c r="A93" s="460">
        <f t="shared" si="11"/>
        <v>1900</v>
      </c>
      <c r="B93" s="461" t="str">
        <f t="shared" si="12"/>
        <v>1</v>
      </c>
      <c r="I93" s="488" t="e">
        <f t="shared" si="6"/>
        <v>#DIV/0!</v>
      </c>
      <c r="J93" s="488" t="e">
        <f t="shared" si="7"/>
        <v>#DIV/0!</v>
      </c>
      <c r="K93" s="488" t="e">
        <f t="shared" si="8"/>
        <v>#DIV/0!</v>
      </c>
    </row>
    <row r="94" spans="1:11" ht="15">
      <c r="A94" s="460">
        <f t="shared" si="11"/>
        <v>1900</v>
      </c>
      <c r="B94" s="461" t="str">
        <f t="shared" si="12"/>
        <v>1</v>
      </c>
      <c r="I94" s="488" t="e">
        <f t="shared" si="6"/>
        <v>#DIV/0!</v>
      </c>
      <c r="J94" s="488" t="e">
        <f t="shared" si="7"/>
        <v>#DIV/0!</v>
      </c>
      <c r="K94" s="488" t="e">
        <f t="shared" si="8"/>
        <v>#DIV/0!</v>
      </c>
    </row>
    <row r="95" spans="1:11" ht="15">
      <c r="A95" s="460">
        <f t="shared" si="11"/>
        <v>1900</v>
      </c>
      <c r="B95" s="461" t="str">
        <f t="shared" si="12"/>
        <v>1</v>
      </c>
      <c r="I95" s="488" t="e">
        <f t="shared" si="6"/>
        <v>#DIV/0!</v>
      </c>
      <c r="J95" s="488" t="e">
        <f t="shared" si="7"/>
        <v>#DIV/0!</v>
      </c>
      <c r="K95" s="488" t="e">
        <f t="shared" si="8"/>
        <v>#DIV/0!</v>
      </c>
    </row>
    <row r="96" spans="1:11" ht="15">
      <c r="A96" s="460">
        <f t="shared" si="11"/>
        <v>1900</v>
      </c>
      <c r="B96" s="461" t="str">
        <f t="shared" si="12"/>
        <v>1</v>
      </c>
      <c r="I96" s="488" t="e">
        <f t="shared" si="6"/>
        <v>#DIV/0!</v>
      </c>
      <c r="J96" s="488" t="e">
        <f t="shared" si="7"/>
        <v>#DIV/0!</v>
      </c>
      <c r="K96" s="488" t="e">
        <f t="shared" si="8"/>
        <v>#DIV/0!</v>
      </c>
    </row>
    <row r="97" spans="1:11" ht="15">
      <c r="A97" s="460">
        <f t="shared" si="11"/>
        <v>1900</v>
      </c>
      <c r="B97" s="461" t="str">
        <f t="shared" si="12"/>
        <v>1</v>
      </c>
      <c r="I97" s="488" t="e">
        <f t="shared" si="6"/>
        <v>#DIV/0!</v>
      </c>
      <c r="J97" s="488" t="e">
        <f t="shared" si="7"/>
        <v>#DIV/0!</v>
      </c>
      <c r="K97" s="488" t="e">
        <f t="shared" si="8"/>
        <v>#DIV/0!</v>
      </c>
    </row>
    <row r="98" spans="1:11" ht="15">
      <c r="A98" s="460">
        <f t="shared" si="11"/>
        <v>1900</v>
      </c>
      <c r="B98" s="461" t="str">
        <f t="shared" si="12"/>
        <v>1</v>
      </c>
      <c r="I98" s="488" t="e">
        <f t="shared" si="6"/>
        <v>#DIV/0!</v>
      </c>
      <c r="J98" s="488" t="e">
        <f t="shared" si="7"/>
        <v>#DIV/0!</v>
      </c>
      <c r="K98" s="488" t="e">
        <f t="shared" si="8"/>
        <v>#DIV/0!</v>
      </c>
    </row>
    <row r="99" spans="1:11" ht="15">
      <c r="A99" s="460">
        <f t="shared" si="11"/>
        <v>1900</v>
      </c>
      <c r="B99" s="461" t="str">
        <f t="shared" si="12"/>
        <v>1</v>
      </c>
      <c r="I99" s="488" t="e">
        <f t="shared" si="6"/>
        <v>#DIV/0!</v>
      </c>
      <c r="J99" s="488" t="e">
        <f t="shared" si="7"/>
        <v>#DIV/0!</v>
      </c>
      <c r="K99" s="488" t="e">
        <f t="shared" si="8"/>
        <v>#DIV/0!</v>
      </c>
    </row>
    <row r="100" spans="1:11" ht="15">
      <c r="A100" s="460">
        <f t="shared" si="11"/>
        <v>1900</v>
      </c>
      <c r="B100" s="461" t="str">
        <f t="shared" si="12"/>
        <v>1</v>
      </c>
      <c r="I100" s="488" t="e">
        <f t="shared" si="6"/>
        <v>#DIV/0!</v>
      </c>
      <c r="J100" s="488" t="e">
        <f t="shared" si="7"/>
        <v>#DIV/0!</v>
      </c>
      <c r="K100" s="488" t="e">
        <f t="shared" si="8"/>
        <v>#DIV/0!</v>
      </c>
    </row>
    <row r="101" spans="1:11" ht="15">
      <c r="A101" s="460">
        <f t="shared" si="11"/>
        <v>1900</v>
      </c>
      <c r="B101" s="461" t="str">
        <f t="shared" si="12"/>
        <v>1</v>
      </c>
      <c r="I101" s="488" t="e">
        <f t="shared" si="6"/>
        <v>#DIV/0!</v>
      </c>
      <c r="J101" s="488" t="e">
        <f t="shared" si="7"/>
        <v>#DIV/0!</v>
      </c>
      <c r="K101" s="488" t="e">
        <f t="shared" si="8"/>
        <v>#DIV/0!</v>
      </c>
    </row>
    <row r="102" spans="1:11" ht="15">
      <c r="A102" s="460">
        <f t="shared" si="11"/>
        <v>1900</v>
      </c>
      <c r="B102" s="461" t="str">
        <f t="shared" si="12"/>
        <v>1</v>
      </c>
      <c r="I102" s="488" t="e">
        <f t="shared" si="6"/>
        <v>#DIV/0!</v>
      </c>
      <c r="J102" s="488" t="e">
        <f t="shared" si="7"/>
        <v>#DIV/0!</v>
      </c>
      <c r="K102" s="488" t="e">
        <f t="shared" si="8"/>
        <v>#DIV/0!</v>
      </c>
    </row>
    <row r="103" spans="1:11" ht="15">
      <c r="A103" s="460">
        <f t="shared" si="11"/>
        <v>1900</v>
      </c>
      <c r="B103" s="461" t="str">
        <f t="shared" si="12"/>
        <v>1</v>
      </c>
      <c r="I103" s="488" t="e">
        <f t="shared" si="6"/>
        <v>#DIV/0!</v>
      </c>
      <c r="J103" s="488" t="e">
        <f t="shared" si="7"/>
        <v>#DIV/0!</v>
      </c>
      <c r="K103" s="488" t="e">
        <f t="shared" si="8"/>
        <v>#DIV/0!</v>
      </c>
    </row>
    <row r="104" spans="1:11" ht="15">
      <c r="A104" s="460">
        <f t="shared" si="11"/>
        <v>1900</v>
      </c>
      <c r="B104" s="461" t="str">
        <f t="shared" si="12"/>
        <v>1</v>
      </c>
      <c r="I104" s="488" t="e">
        <f t="shared" si="6"/>
        <v>#DIV/0!</v>
      </c>
      <c r="J104" s="488" t="e">
        <f t="shared" si="7"/>
        <v>#DIV/0!</v>
      </c>
      <c r="K104" s="488" t="e">
        <f t="shared" si="8"/>
        <v>#DIV/0!</v>
      </c>
    </row>
    <row r="105" spans="1:11" ht="15">
      <c r="A105" s="460">
        <f t="shared" si="11"/>
        <v>1900</v>
      </c>
      <c r="B105" s="461" t="str">
        <f t="shared" si="12"/>
        <v>1</v>
      </c>
      <c r="I105" s="488" t="e">
        <f t="shared" si="6"/>
        <v>#DIV/0!</v>
      </c>
      <c r="J105" s="488" t="e">
        <f t="shared" si="7"/>
        <v>#DIV/0!</v>
      </c>
      <c r="K105" s="488" t="e">
        <f t="shared" si="8"/>
        <v>#DIV/0!</v>
      </c>
    </row>
    <row r="106" spans="1:11" ht="15">
      <c r="A106" s="460">
        <f t="shared" si="11"/>
        <v>1900</v>
      </c>
      <c r="B106" s="461" t="str">
        <f t="shared" si="12"/>
        <v>1</v>
      </c>
      <c r="I106" s="488" t="e">
        <f t="shared" si="6"/>
        <v>#DIV/0!</v>
      </c>
      <c r="J106" s="488" t="e">
        <f t="shared" si="7"/>
        <v>#DIV/0!</v>
      </c>
      <c r="K106" s="488" t="e">
        <f t="shared" si="8"/>
        <v>#DIV/0!</v>
      </c>
    </row>
    <row r="107" spans="1:11" ht="15">
      <c r="A107" s="460">
        <f t="shared" si="11"/>
        <v>1900</v>
      </c>
      <c r="B107" s="461" t="str">
        <f t="shared" si="12"/>
        <v>1</v>
      </c>
      <c r="I107" s="488" t="e">
        <f t="shared" si="6"/>
        <v>#DIV/0!</v>
      </c>
      <c r="J107" s="488" t="e">
        <f t="shared" si="7"/>
        <v>#DIV/0!</v>
      </c>
      <c r="K107" s="488" t="e">
        <f t="shared" si="8"/>
        <v>#DIV/0!</v>
      </c>
    </row>
    <row r="108" spans="1:11" ht="15">
      <c r="A108" s="460">
        <f t="shared" si="11"/>
        <v>1900</v>
      </c>
      <c r="B108" s="461" t="str">
        <f t="shared" si="12"/>
        <v>1</v>
      </c>
      <c r="I108" s="488" t="e">
        <f t="shared" si="6"/>
        <v>#DIV/0!</v>
      </c>
      <c r="J108" s="488" t="e">
        <f t="shared" si="7"/>
        <v>#DIV/0!</v>
      </c>
      <c r="K108" s="488" t="e">
        <f t="shared" si="8"/>
        <v>#DIV/0!</v>
      </c>
    </row>
    <row r="109" spans="1:11" ht="15">
      <c r="A109" s="460">
        <f t="shared" si="11"/>
        <v>1900</v>
      </c>
      <c r="B109" s="461" t="str">
        <f t="shared" si="12"/>
        <v>1</v>
      </c>
      <c r="I109" s="488" t="e">
        <f t="shared" si="6"/>
        <v>#DIV/0!</v>
      </c>
      <c r="J109" s="488" t="e">
        <f t="shared" si="7"/>
        <v>#DIV/0!</v>
      </c>
      <c r="K109" s="488" t="e">
        <f t="shared" si="8"/>
        <v>#DIV/0!</v>
      </c>
    </row>
    <row r="110" spans="1:11" ht="15">
      <c r="A110" s="460">
        <f t="shared" si="11"/>
        <v>1900</v>
      </c>
      <c r="B110" s="461" t="str">
        <f t="shared" si="12"/>
        <v>1</v>
      </c>
      <c r="I110" s="488" t="e">
        <f t="shared" si="6"/>
        <v>#DIV/0!</v>
      </c>
      <c r="J110" s="488" t="e">
        <f t="shared" si="7"/>
        <v>#DIV/0!</v>
      </c>
      <c r="K110" s="488" t="e">
        <f t="shared" si="8"/>
        <v>#DIV/0!</v>
      </c>
    </row>
    <row r="111" spans="1:11" ht="15">
      <c r="A111" s="460">
        <f t="shared" si="11"/>
        <v>1900</v>
      </c>
      <c r="B111" s="461" t="str">
        <f t="shared" si="12"/>
        <v>1</v>
      </c>
      <c r="I111" s="488" t="e">
        <f t="shared" si="6"/>
        <v>#DIV/0!</v>
      </c>
      <c r="J111" s="488" t="e">
        <f t="shared" si="7"/>
        <v>#DIV/0!</v>
      </c>
      <c r="K111" s="488" t="e">
        <f t="shared" si="8"/>
        <v>#DIV/0!</v>
      </c>
    </row>
    <row r="112" spans="1:11" ht="15">
      <c r="A112" s="460">
        <f t="shared" si="11"/>
        <v>1900</v>
      </c>
      <c r="B112" s="461" t="str">
        <f t="shared" si="12"/>
        <v>1</v>
      </c>
      <c r="I112" s="488" t="e">
        <f t="shared" si="6"/>
        <v>#DIV/0!</v>
      </c>
      <c r="J112" s="488" t="e">
        <f t="shared" si="7"/>
        <v>#DIV/0!</v>
      </c>
      <c r="K112" s="488" t="e">
        <f t="shared" si="8"/>
        <v>#DIV/0!</v>
      </c>
    </row>
    <row r="113" spans="1:11" ht="15">
      <c r="A113" s="460">
        <f t="shared" si="11"/>
        <v>1900</v>
      </c>
      <c r="B113" s="461" t="str">
        <f t="shared" si="12"/>
        <v>1</v>
      </c>
      <c r="I113" s="488" t="e">
        <f t="shared" si="6"/>
        <v>#DIV/0!</v>
      </c>
      <c r="J113" s="488" t="e">
        <f t="shared" si="7"/>
        <v>#DIV/0!</v>
      </c>
      <c r="K113" s="488" t="e">
        <f t="shared" si="8"/>
        <v>#DIV/0!</v>
      </c>
    </row>
    <row r="114" spans="1:11" ht="15">
      <c r="A114" s="460">
        <f t="shared" si="11"/>
        <v>1900</v>
      </c>
      <c r="B114" s="461" t="str">
        <f t="shared" si="12"/>
        <v>1</v>
      </c>
      <c r="I114" s="488" t="e">
        <f t="shared" si="6"/>
        <v>#DIV/0!</v>
      </c>
      <c r="J114" s="488" t="e">
        <f t="shared" si="7"/>
        <v>#DIV/0!</v>
      </c>
      <c r="K114" s="488" t="e">
        <f t="shared" si="8"/>
        <v>#DIV/0!</v>
      </c>
    </row>
    <row r="115" spans="1:11" ht="15">
      <c r="A115" s="460">
        <f t="shared" si="11"/>
        <v>1900</v>
      </c>
      <c r="B115" s="461" t="str">
        <f t="shared" si="12"/>
        <v>1</v>
      </c>
      <c r="I115" s="488" t="e">
        <f t="shared" si="6"/>
        <v>#DIV/0!</v>
      </c>
      <c r="J115" s="488" t="e">
        <f t="shared" si="7"/>
        <v>#DIV/0!</v>
      </c>
      <c r="K115" s="488" t="e">
        <f t="shared" si="8"/>
        <v>#DIV/0!</v>
      </c>
    </row>
    <row r="116" spans="1:11" ht="15">
      <c r="A116" s="460">
        <f t="shared" si="11"/>
        <v>1900</v>
      </c>
      <c r="B116" s="461" t="str">
        <f t="shared" si="12"/>
        <v>1</v>
      </c>
      <c r="I116" s="488" t="e">
        <f t="shared" si="6"/>
        <v>#DIV/0!</v>
      </c>
      <c r="J116" s="488" t="e">
        <f t="shared" si="7"/>
        <v>#DIV/0!</v>
      </c>
      <c r="K116" s="488" t="e">
        <f t="shared" si="8"/>
        <v>#DIV/0!</v>
      </c>
    </row>
    <row r="117" spans="1:11" ht="15">
      <c r="A117" s="460">
        <f t="shared" si="11"/>
        <v>1900</v>
      </c>
      <c r="B117" s="461" t="str">
        <f t="shared" si="12"/>
        <v>1</v>
      </c>
      <c r="I117" s="488" t="e">
        <f t="shared" si="6"/>
        <v>#DIV/0!</v>
      </c>
      <c r="J117" s="488" t="e">
        <f t="shared" si="7"/>
        <v>#DIV/0!</v>
      </c>
      <c r="K117" s="488" t="e">
        <f t="shared" si="8"/>
        <v>#DIV/0!</v>
      </c>
    </row>
    <row r="118" spans="1:11" ht="15">
      <c r="A118" s="460">
        <f t="shared" si="11"/>
        <v>1900</v>
      </c>
      <c r="B118" s="461" t="str">
        <f t="shared" si="12"/>
        <v>1</v>
      </c>
      <c r="I118" s="488" t="e">
        <f t="shared" si="6"/>
        <v>#DIV/0!</v>
      </c>
      <c r="J118" s="488" t="e">
        <f t="shared" si="7"/>
        <v>#DIV/0!</v>
      </c>
      <c r="K118" s="488" t="e">
        <f t="shared" si="8"/>
        <v>#DIV/0!</v>
      </c>
    </row>
    <row r="119" spans="1:11" ht="15">
      <c r="A119" s="460">
        <f t="shared" si="11"/>
        <v>1900</v>
      </c>
      <c r="B119" s="461" t="str">
        <f t="shared" si="12"/>
        <v>1</v>
      </c>
      <c r="I119" s="488" t="e">
        <f t="shared" si="6"/>
        <v>#DIV/0!</v>
      </c>
      <c r="J119" s="488" t="e">
        <f t="shared" si="7"/>
        <v>#DIV/0!</v>
      </c>
      <c r="K119" s="488" t="e">
        <f t="shared" si="8"/>
        <v>#DIV/0!</v>
      </c>
    </row>
    <row r="120" spans="1:11" ht="15">
      <c r="A120" s="460">
        <f t="shared" si="11"/>
        <v>1900</v>
      </c>
      <c r="B120" s="461" t="str">
        <f t="shared" si="12"/>
        <v>1</v>
      </c>
      <c r="I120" s="488" t="e">
        <f t="shared" ref="I120:I149" si="13">IF($I$8=$T$12,IF(B120="3",AVERAGE(F120:F123),IF(B120="4",AVERAGE(F119:F122),IF(B120="1",AVERAGE(F118:F121),AVERAGE(F117:F120)))),AVERAGEIF($A$9:$A$150,A120,$F$9:$F$150))</f>
        <v>#DIV/0!</v>
      </c>
      <c r="J120" s="488" t="e">
        <f t="shared" ref="J120:J149" si="14">IF($J$8=$T$12,IF(B120="3",AVERAGE(G120:G123),IF(B120="4",AVERAGE(G119:G122),IF(B120="1",AVERAGE(G118:G121),AVERAGE(G117:G120)))),AVERAGEIF($A$9:$A$150,A120,$G$9:$G$150))</f>
        <v>#DIV/0!</v>
      </c>
      <c r="K120" s="488" t="e">
        <f t="shared" ref="K120:K149" si="15">IF($K$8=$T$12,IF(B120="3",AVERAGE(H120:H123),IF(B120="4",AVERAGE(H119:H122),IF(B120="1",AVERAGE(H118:H121),AVERAGE(H117:H120)))),AVERAGEIF($A$9:$A$150,A120,$H$9:$H$150))</f>
        <v>#DIV/0!</v>
      </c>
    </row>
    <row r="121" spans="1:11" ht="15">
      <c r="A121" s="460">
        <f t="shared" si="11"/>
        <v>1900</v>
      </c>
      <c r="B121" s="461" t="str">
        <f t="shared" si="12"/>
        <v>1</v>
      </c>
      <c r="I121" s="488" t="e">
        <f t="shared" si="13"/>
        <v>#DIV/0!</v>
      </c>
      <c r="J121" s="488" t="e">
        <f t="shared" si="14"/>
        <v>#DIV/0!</v>
      </c>
      <c r="K121" s="488" t="e">
        <f t="shared" si="15"/>
        <v>#DIV/0!</v>
      </c>
    </row>
    <row r="122" spans="1:11" ht="15">
      <c r="A122" s="460">
        <f t="shared" si="11"/>
        <v>1900</v>
      </c>
      <c r="B122" s="461" t="str">
        <f t="shared" si="12"/>
        <v>1</v>
      </c>
      <c r="I122" s="488" t="e">
        <f t="shared" si="13"/>
        <v>#DIV/0!</v>
      </c>
      <c r="J122" s="488" t="e">
        <f t="shared" si="14"/>
        <v>#DIV/0!</v>
      </c>
      <c r="K122" s="488" t="e">
        <f t="shared" si="15"/>
        <v>#DIV/0!</v>
      </c>
    </row>
    <row r="123" spans="1:11" ht="15">
      <c r="A123" s="460">
        <f t="shared" si="11"/>
        <v>1900</v>
      </c>
      <c r="B123" s="461" t="str">
        <f t="shared" si="12"/>
        <v>1</v>
      </c>
      <c r="I123" s="488" t="e">
        <f t="shared" si="13"/>
        <v>#DIV/0!</v>
      </c>
      <c r="J123" s="488" t="e">
        <f t="shared" si="14"/>
        <v>#DIV/0!</v>
      </c>
      <c r="K123" s="488" t="e">
        <f t="shared" si="15"/>
        <v>#DIV/0!</v>
      </c>
    </row>
    <row r="124" spans="1:11" ht="15">
      <c r="A124" s="460">
        <f t="shared" si="11"/>
        <v>1900</v>
      </c>
      <c r="B124" s="461" t="str">
        <f t="shared" si="12"/>
        <v>1</v>
      </c>
      <c r="I124" s="488" t="e">
        <f t="shared" si="13"/>
        <v>#DIV/0!</v>
      </c>
      <c r="J124" s="488" t="e">
        <f t="shared" si="14"/>
        <v>#DIV/0!</v>
      </c>
      <c r="K124" s="488" t="e">
        <f t="shared" si="15"/>
        <v>#DIV/0!</v>
      </c>
    </row>
    <row r="125" spans="1:11" ht="15">
      <c r="A125" s="460">
        <f t="shared" si="11"/>
        <v>1900</v>
      </c>
      <c r="B125" s="461" t="str">
        <f t="shared" si="12"/>
        <v>1</v>
      </c>
      <c r="I125" s="488" t="e">
        <f t="shared" si="13"/>
        <v>#DIV/0!</v>
      </c>
      <c r="J125" s="488" t="e">
        <f t="shared" si="14"/>
        <v>#DIV/0!</v>
      </c>
      <c r="K125" s="488" t="e">
        <f t="shared" si="15"/>
        <v>#DIV/0!</v>
      </c>
    </row>
    <row r="126" spans="1:11" ht="15">
      <c r="A126" s="460">
        <f t="shared" si="11"/>
        <v>1900</v>
      </c>
      <c r="B126" s="461" t="str">
        <f t="shared" si="12"/>
        <v>1</v>
      </c>
      <c r="I126" s="488" t="e">
        <f t="shared" si="13"/>
        <v>#DIV/0!</v>
      </c>
      <c r="J126" s="488" t="e">
        <f t="shared" si="14"/>
        <v>#DIV/0!</v>
      </c>
      <c r="K126" s="488" t="e">
        <f t="shared" si="15"/>
        <v>#DIV/0!</v>
      </c>
    </row>
    <row r="127" spans="1:11" ht="15">
      <c r="A127" s="460">
        <f t="shared" si="11"/>
        <v>1900</v>
      </c>
      <c r="B127" s="461" t="str">
        <f t="shared" si="12"/>
        <v>1</v>
      </c>
      <c r="I127" s="488" t="e">
        <f t="shared" si="13"/>
        <v>#DIV/0!</v>
      </c>
      <c r="J127" s="488" t="e">
        <f t="shared" si="14"/>
        <v>#DIV/0!</v>
      </c>
      <c r="K127" s="488" t="e">
        <f t="shared" si="15"/>
        <v>#DIV/0!</v>
      </c>
    </row>
    <row r="128" spans="1:11" ht="15">
      <c r="A128" s="460">
        <f t="shared" si="11"/>
        <v>1900</v>
      </c>
      <c r="B128" s="461" t="str">
        <f t="shared" si="12"/>
        <v>1</v>
      </c>
      <c r="I128" s="488" t="e">
        <f t="shared" si="13"/>
        <v>#DIV/0!</v>
      </c>
      <c r="J128" s="488" t="e">
        <f t="shared" si="14"/>
        <v>#DIV/0!</v>
      </c>
      <c r="K128" s="488" t="e">
        <f t="shared" si="15"/>
        <v>#DIV/0!</v>
      </c>
    </row>
    <row r="129" spans="1:11" ht="15">
      <c r="A129" s="460">
        <f t="shared" si="11"/>
        <v>1900</v>
      </c>
      <c r="B129" s="461" t="str">
        <f t="shared" si="12"/>
        <v>1</v>
      </c>
      <c r="I129" s="488" t="e">
        <f t="shared" si="13"/>
        <v>#DIV/0!</v>
      </c>
      <c r="J129" s="488" t="e">
        <f t="shared" si="14"/>
        <v>#DIV/0!</v>
      </c>
      <c r="K129" s="488" t="e">
        <f t="shared" si="15"/>
        <v>#DIV/0!</v>
      </c>
    </row>
    <row r="130" spans="1:11" ht="15">
      <c r="A130" s="460">
        <f t="shared" si="11"/>
        <v>1900</v>
      </c>
      <c r="B130" s="461" t="str">
        <f t="shared" si="12"/>
        <v>1</v>
      </c>
      <c r="I130" s="488" t="e">
        <f t="shared" si="13"/>
        <v>#DIV/0!</v>
      </c>
      <c r="J130" s="488" t="e">
        <f t="shared" si="14"/>
        <v>#DIV/0!</v>
      </c>
      <c r="K130" s="488" t="e">
        <f t="shared" si="15"/>
        <v>#DIV/0!</v>
      </c>
    </row>
    <row r="131" spans="1:11" ht="15">
      <c r="A131" s="460">
        <f t="shared" si="11"/>
        <v>1900</v>
      </c>
      <c r="B131" s="461" t="str">
        <f t="shared" si="12"/>
        <v>1</v>
      </c>
      <c r="I131" s="488" t="e">
        <f t="shared" si="13"/>
        <v>#DIV/0!</v>
      </c>
      <c r="J131" s="488" t="e">
        <f t="shared" si="14"/>
        <v>#DIV/0!</v>
      </c>
      <c r="K131" s="488" t="e">
        <f t="shared" si="15"/>
        <v>#DIV/0!</v>
      </c>
    </row>
    <row r="132" spans="1:11" ht="15">
      <c r="A132" s="460">
        <f t="shared" si="11"/>
        <v>1900</v>
      </c>
      <c r="B132" s="461" t="str">
        <f t="shared" si="12"/>
        <v>1</v>
      </c>
      <c r="I132" s="488" t="e">
        <f t="shared" si="13"/>
        <v>#DIV/0!</v>
      </c>
      <c r="J132" s="488" t="e">
        <f t="shared" si="14"/>
        <v>#DIV/0!</v>
      </c>
      <c r="K132" s="488" t="e">
        <f t="shared" si="15"/>
        <v>#DIV/0!</v>
      </c>
    </row>
    <row r="133" spans="1:11" ht="15">
      <c r="A133" s="460">
        <f t="shared" si="11"/>
        <v>1900</v>
      </c>
      <c r="B133" s="461" t="str">
        <f t="shared" si="12"/>
        <v>1</v>
      </c>
      <c r="I133" s="488" t="e">
        <f t="shared" si="13"/>
        <v>#DIV/0!</v>
      </c>
      <c r="J133" s="488" t="e">
        <f t="shared" si="14"/>
        <v>#DIV/0!</v>
      </c>
      <c r="K133" s="488" t="e">
        <f t="shared" si="15"/>
        <v>#DIV/0!</v>
      </c>
    </row>
    <row r="134" spans="1:11" ht="15">
      <c r="A134" s="460">
        <f t="shared" si="11"/>
        <v>1900</v>
      </c>
      <c r="B134" s="461" t="str">
        <f t="shared" si="12"/>
        <v>1</v>
      </c>
      <c r="I134" s="488" t="e">
        <f t="shared" si="13"/>
        <v>#DIV/0!</v>
      </c>
      <c r="J134" s="488" t="e">
        <f t="shared" si="14"/>
        <v>#DIV/0!</v>
      </c>
      <c r="K134" s="488" t="e">
        <f t="shared" si="15"/>
        <v>#DIV/0!</v>
      </c>
    </row>
    <row r="135" spans="1:11" ht="15">
      <c r="A135" s="460">
        <f t="shared" si="11"/>
        <v>1900</v>
      </c>
      <c r="B135" s="461" t="str">
        <f t="shared" si="12"/>
        <v>1</v>
      </c>
      <c r="I135" s="488" t="e">
        <f t="shared" si="13"/>
        <v>#DIV/0!</v>
      </c>
      <c r="J135" s="488" t="e">
        <f t="shared" si="14"/>
        <v>#DIV/0!</v>
      </c>
      <c r="K135" s="488" t="e">
        <f t="shared" si="15"/>
        <v>#DIV/0!</v>
      </c>
    </row>
    <row r="136" spans="1:11" ht="15">
      <c r="A136" s="460">
        <f t="shared" si="11"/>
        <v>1900</v>
      </c>
      <c r="B136" s="461" t="str">
        <f t="shared" si="12"/>
        <v>1</v>
      </c>
      <c r="I136" s="488" t="e">
        <f t="shared" si="13"/>
        <v>#DIV/0!</v>
      </c>
      <c r="J136" s="488" t="e">
        <f t="shared" si="14"/>
        <v>#DIV/0!</v>
      </c>
      <c r="K136" s="488" t="e">
        <f t="shared" si="15"/>
        <v>#DIV/0!</v>
      </c>
    </row>
    <row r="137" spans="1:11" ht="15">
      <c r="A137" s="460">
        <f t="shared" si="11"/>
        <v>1900</v>
      </c>
      <c r="B137" s="461" t="str">
        <f t="shared" si="12"/>
        <v>1</v>
      </c>
      <c r="I137" s="488" t="e">
        <f t="shared" si="13"/>
        <v>#DIV/0!</v>
      </c>
      <c r="J137" s="488" t="e">
        <f t="shared" si="14"/>
        <v>#DIV/0!</v>
      </c>
      <c r="K137" s="488" t="e">
        <f t="shared" si="15"/>
        <v>#DIV/0!</v>
      </c>
    </row>
    <row r="138" spans="1:11" ht="15">
      <c r="A138" s="460">
        <f t="shared" si="11"/>
        <v>1900</v>
      </c>
      <c r="B138" s="461" t="str">
        <f t="shared" si="12"/>
        <v>1</v>
      </c>
      <c r="I138" s="488" t="e">
        <f t="shared" si="13"/>
        <v>#DIV/0!</v>
      </c>
      <c r="J138" s="488" t="e">
        <f t="shared" si="14"/>
        <v>#DIV/0!</v>
      </c>
      <c r="K138" s="488" t="e">
        <f t="shared" si="15"/>
        <v>#DIV/0!</v>
      </c>
    </row>
    <row r="139" spans="1:11" ht="15">
      <c r="A139" s="460">
        <f t="shared" si="11"/>
        <v>1900</v>
      </c>
      <c r="B139" s="461" t="str">
        <f t="shared" si="12"/>
        <v>1</v>
      </c>
      <c r="I139" s="488" t="e">
        <f t="shared" si="13"/>
        <v>#DIV/0!</v>
      </c>
      <c r="J139" s="488" t="e">
        <f t="shared" si="14"/>
        <v>#DIV/0!</v>
      </c>
      <c r="K139" s="488" t="e">
        <f t="shared" si="15"/>
        <v>#DIV/0!</v>
      </c>
    </row>
    <row r="140" spans="1:11" ht="15">
      <c r="A140" s="460">
        <f t="shared" si="11"/>
        <v>1900</v>
      </c>
      <c r="B140" s="461" t="str">
        <f t="shared" si="12"/>
        <v>1</v>
      </c>
      <c r="I140" s="488" t="e">
        <f t="shared" si="13"/>
        <v>#DIV/0!</v>
      </c>
      <c r="J140" s="488" t="e">
        <f t="shared" si="14"/>
        <v>#DIV/0!</v>
      </c>
      <c r="K140" s="488" t="e">
        <f t="shared" si="15"/>
        <v>#DIV/0!</v>
      </c>
    </row>
    <row r="141" spans="1:11" ht="15">
      <c r="A141" s="460">
        <f t="shared" si="11"/>
        <v>1900</v>
      </c>
      <c r="B141" s="461" t="str">
        <f t="shared" si="12"/>
        <v>1</v>
      </c>
      <c r="I141" s="488" t="e">
        <f t="shared" si="13"/>
        <v>#DIV/0!</v>
      </c>
      <c r="J141" s="488" t="e">
        <f t="shared" si="14"/>
        <v>#DIV/0!</v>
      </c>
      <c r="K141" s="488" t="e">
        <f t="shared" si="15"/>
        <v>#DIV/0!</v>
      </c>
    </row>
    <row r="142" spans="1:11" ht="15">
      <c r="A142" s="460">
        <f t="shared" si="11"/>
        <v>1900</v>
      </c>
      <c r="B142" s="461" t="str">
        <f t="shared" si="12"/>
        <v>1</v>
      </c>
      <c r="I142" s="488" t="e">
        <f t="shared" si="13"/>
        <v>#DIV/0!</v>
      </c>
      <c r="J142" s="488" t="e">
        <f t="shared" si="14"/>
        <v>#DIV/0!</v>
      </c>
      <c r="K142" s="488" t="e">
        <f t="shared" si="15"/>
        <v>#DIV/0!</v>
      </c>
    </row>
    <row r="143" spans="1:11" ht="15">
      <c r="A143" s="460">
        <f t="shared" si="11"/>
        <v>1900</v>
      </c>
      <c r="B143" s="461" t="str">
        <f t="shared" si="12"/>
        <v>1</v>
      </c>
      <c r="I143" s="488" t="e">
        <f t="shared" si="13"/>
        <v>#DIV/0!</v>
      </c>
      <c r="J143" s="488" t="e">
        <f t="shared" si="14"/>
        <v>#DIV/0!</v>
      </c>
      <c r="K143" s="488" t="e">
        <f t="shared" si="15"/>
        <v>#DIV/0!</v>
      </c>
    </row>
    <row r="144" spans="1:11" ht="15">
      <c r="A144" s="460">
        <f t="shared" ref="A144:A150" si="16">YEAR(C144)</f>
        <v>1900</v>
      </c>
      <c r="B144" s="461" t="str">
        <f t="shared" ref="B144:B150" si="17">IF(MONTH(C144)&lt;4,"1",IF(MONTH(C144)&lt;7,"2",IF(MONTH(C144)&lt;10,"3","4")))</f>
        <v>1</v>
      </c>
      <c r="I144" s="488" t="e">
        <f t="shared" si="13"/>
        <v>#DIV/0!</v>
      </c>
      <c r="J144" s="488" t="e">
        <f t="shared" si="14"/>
        <v>#DIV/0!</v>
      </c>
      <c r="K144" s="488" t="e">
        <f t="shared" si="15"/>
        <v>#DIV/0!</v>
      </c>
    </row>
    <row r="145" spans="1:11" ht="15">
      <c r="A145" s="460">
        <f t="shared" si="16"/>
        <v>1900</v>
      </c>
      <c r="B145" s="461" t="str">
        <f t="shared" si="17"/>
        <v>1</v>
      </c>
      <c r="I145" s="488" t="e">
        <f t="shared" si="13"/>
        <v>#DIV/0!</v>
      </c>
      <c r="J145" s="488" t="e">
        <f t="shared" si="14"/>
        <v>#DIV/0!</v>
      </c>
      <c r="K145" s="488" t="e">
        <f t="shared" si="15"/>
        <v>#DIV/0!</v>
      </c>
    </row>
    <row r="146" spans="1:11" ht="15">
      <c r="A146" s="460">
        <f t="shared" si="16"/>
        <v>1900</v>
      </c>
      <c r="B146" s="461" t="str">
        <f t="shared" si="17"/>
        <v>1</v>
      </c>
      <c r="I146" s="488" t="e">
        <f t="shared" si="13"/>
        <v>#DIV/0!</v>
      </c>
      <c r="J146" s="488" t="e">
        <f t="shared" si="14"/>
        <v>#DIV/0!</v>
      </c>
      <c r="K146" s="488" t="e">
        <f t="shared" si="15"/>
        <v>#DIV/0!</v>
      </c>
    </row>
    <row r="147" spans="1:11" ht="15">
      <c r="A147" s="460">
        <f t="shared" si="16"/>
        <v>1900</v>
      </c>
      <c r="B147" s="461" t="str">
        <f t="shared" si="17"/>
        <v>1</v>
      </c>
      <c r="I147" s="488" t="e">
        <f t="shared" si="13"/>
        <v>#DIV/0!</v>
      </c>
      <c r="J147" s="488" t="e">
        <f t="shared" si="14"/>
        <v>#DIV/0!</v>
      </c>
      <c r="K147" s="488" t="e">
        <f t="shared" si="15"/>
        <v>#DIV/0!</v>
      </c>
    </row>
    <row r="148" spans="1:11" ht="15">
      <c r="A148" s="460">
        <f t="shared" si="16"/>
        <v>1900</v>
      </c>
      <c r="B148" s="461" t="str">
        <f t="shared" si="17"/>
        <v>1</v>
      </c>
      <c r="I148" s="488" t="e">
        <f t="shared" si="13"/>
        <v>#DIV/0!</v>
      </c>
      <c r="J148" s="488" t="e">
        <f t="shared" si="14"/>
        <v>#DIV/0!</v>
      </c>
      <c r="K148" s="488" t="e">
        <f t="shared" si="15"/>
        <v>#DIV/0!</v>
      </c>
    </row>
    <row r="149" spans="1:11" ht="15">
      <c r="A149" s="460">
        <f t="shared" si="16"/>
        <v>1900</v>
      </c>
      <c r="B149" s="461" t="str">
        <f t="shared" si="17"/>
        <v>1</v>
      </c>
      <c r="I149" s="488" t="e">
        <f t="shared" si="13"/>
        <v>#DIV/0!</v>
      </c>
      <c r="J149" s="488" t="e">
        <f t="shared" si="14"/>
        <v>#DIV/0!</v>
      </c>
      <c r="K149" s="488" t="e">
        <f t="shared" si="15"/>
        <v>#DIV/0!</v>
      </c>
    </row>
    <row r="150" spans="1:11" ht="15">
      <c r="A150" s="460">
        <f t="shared" si="16"/>
        <v>1900</v>
      </c>
      <c r="B150" s="461" t="str">
        <f t="shared" si="17"/>
        <v>1</v>
      </c>
      <c r="I150" s="488" t="e">
        <f t="shared" ref="I150" si="18">IF($I$8=$T$12,IF(B150="3",AVERAGE(F150:F153),IF(B150="4",AVERAGE(F149:F152),IF(B150="1",AVERAGE(F148:F151),AVERAGE(F147:F150)))),AVERAGEIF($A$9:$A$150,A150,$F$9:$F$150))</f>
        <v>#DIV/0!</v>
      </c>
      <c r="J150" s="488" t="e">
        <f t="shared" ref="J150" si="19">IF($J$8=$T$12,IF(B150="3",AVERAGE(G150:G153),IF(B150="4",AVERAGE(G149:G152),IF(B150="1",AVERAGE(G148:G151),AVERAGE(G147:G150)))),AVERAGEIF($A$9:$A$150,A150,$G$9:$G$150))</f>
        <v>#DIV/0!</v>
      </c>
      <c r="K150" s="488" t="e">
        <f>IF($K$8=$T$12,IF(B150="3",AVERAGE(H150:H153),IF(B150="4",AVERAGE(H149:H152),IF(B150="1",AVERAGE(H148:H151),AVERAGE(H147:H150)))),AVERAGEIF($A$9:$A$150,A150,$H$9:$H$150))</f>
        <v>#DIV/0!</v>
      </c>
    </row>
    <row r="151" spans="1:11" ht="15">
      <c r="I151" s="488"/>
      <c r="J151" s="488"/>
      <c r="K151" s="488"/>
    </row>
    <row r="152" spans="1:11" ht="15">
      <c r="I152" s="488"/>
      <c r="J152" s="488"/>
      <c r="K152" s="488"/>
    </row>
    <row r="153" spans="1:11" ht="15">
      <c r="I153" s="488"/>
      <c r="J153" s="488"/>
      <c r="K153" s="488"/>
    </row>
    <row r="154" spans="1:11" ht="15">
      <c r="I154" s="488"/>
      <c r="J154" s="488"/>
      <c r="K154" s="488"/>
    </row>
    <row r="155" spans="1:11" ht="15">
      <c r="I155" s="488"/>
      <c r="J155" s="488"/>
      <c r="K155" s="488"/>
    </row>
    <row r="156" spans="1:11" ht="15">
      <c r="I156" s="488"/>
      <c r="J156" s="488"/>
      <c r="K156" s="488"/>
    </row>
    <row r="157" spans="1:11" ht="15">
      <c r="I157" s="488"/>
      <c r="J157" s="488"/>
      <c r="K157" s="488"/>
    </row>
    <row r="158" spans="1:11" ht="15">
      <c r="I158" s="488"/>
      <c r="J158" s="488"/>
      <c r="K158" s="488"/>
    </row>
    <row r="159" spans="1:11" ht="15">
      <c r="I159" s="488"/>
      <c r="J159" s="488"/>
      <c r="K159" s="488"/>
    </row>
    <row r="160" spans="1:11" ht="15">
      <c r="I160" s="488"/>
      <c r="J160" s="488"/>
      <c r="K160" s="488"/>
    </row>
    <row r="161" spans="9:11" ht="15">
      <c r="I161" s="488"/>
      <c r="J161" s="488"/>
      <c r="K161" s="488"/>
    </row>
    <row r="162" spans="9:11" ht="15">
      <c r="I162" s="488"/>
      <c r="J162" s="488"/>
      <c r="K162" s="488"/>
    </row>
    <row r="163" spans="9:11" ht="15">
      <c r="I163" s="488"/>
      <c r="J163" s="488"/>
      <c r="K163" s="488"/>
    </row>
    <row r="164" spans="9:11" ht="15">
      <c r="I164" s="488"/>
      <c r="J164" s="488"/>
      <c r="K164" s="488"/>
    </row>
    <row r="165" spans="9:11" ht="15">
      <c r="I165" s="488"/>
      <c r="J165" s="488"/>
      <c r="K165" s="488"/>
    </row>
    <row r="166" spans="9:11" ht="15">
      <c r="I166" s="488"/>
      <c r="J166" s="488"/>
      <c r="K166" s="488"/>
    </row>
    <row r="167" spans="9:11" ht="15">
      <c r="I167" s="488"/>
      <c r="J167" s="488"/>
      <c r="K167" s="488"/>
    </row>
    <row r="168" spans="9:11" ht="15">
      <c r="I168" s="488"/>
      <c r="J168" s="488"/>
      <c r="K168" s="488"/>
    </row>
  </sheetData>
  <mergeCells count="2">
    <mergeCell ref="O67:Q67"/>
    <mergeCell ref="O68:Q68"/>
  </mergeCells>
  <dataValidations disablePrompts="1" count="1">
    <dataValidation type="list" allowBlank="1" showInputMessage="1" showErrorMessage="1" promptTitle="Select a Period" prompt="Click to select Calendar or Financial Year" sqref="O68:Q68">
      <formula1>$T$12:$T$13</formula1>
    </dataValidation>
  </dataValidations>
  <pageMargins left="0.75" right="0.75" top="1" bottom="1" header="0.5" footer="0.5"/>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09"/>
  <sheetViews>
    <sheetView topLeftCell="B1" zoomScaleNormal="100" workbookViewId="0">
      <selection activeCell="B1" sqref="B1"/>
    </sheetView>
  </sheetViews>
  <sheetFormatPr defaultRowHeight="15"/>
  <cols>
    <col min="1" max="1" width="9.140625" style="89" hidden="1" customWidth="1"/>
    <col min="2" max="2" width="9.28515625" style="428" customWidth="1"/>
    <col min="3" max="3" width="5.42578125" style="428" bestFit="1" customWidth="1"/>
    <col min="4" max="4" width="5" style="428" bestFit="1" customWidth="1"/>
    <col min="5" max="6" width="6" style="428" bestFit="1" customWidth="1"/>
    <col min="7" max="7" width="6" style="244" bestFit="1" customWidth="1"/>
    <col min="8" max="8" width="5" style="244" bestFit="1" customWidth="1"/>
    <col min="9" max="9" width="6" style="244" bestFit="1" customWidth="1"/>
    <col min="10" max="10" width="10.7109375" style="244" customWidth="1"/>
    <col min="11" max="11" width="9.85546875" style="244" customWidth="1"/>
    <col min="12" max="12" width="12.140625" style="428" customWidth="1"/>
    <col min="13" max="13" width="4.5703125" style="428" customWidth="1"/>
    <col min="14" max="14" width="9.140625" style="428"/>
    <col min="15" max="15" width="17.28515625" style="428" bestFit="1" customWidth="1"/>
    <col min="16" max="16" width="15.5703125" style="428" bestFit="1" customWidth="1"/>
    <col min="17" max="17" width="11.85546875" style="428" bestFit="1" customWidth="1"/>
    <col min="18" max="18" width="17.85546875" style="428" bestFit="1" customWidth="1"/>
    <col min="19" max="19" width="4.42578125" style="428" customWidth="1"/>
    <col min="20" max="20" width="9.85546875" style="428" bestFit="1" customWidth="1"/>
    <col min="21" max="21" width="17.28515625" style="428" bestFit="1" customWidth="1"/>
    <col min="22" max="22" width="15.5703125" style="428" bestFit="1" customWidth="1"/>
    <col min="23" max="23" width="11.85546875" style="428" bestFit="1" customWidth="1"/>
    <col min="24" max="24" width="17.85546875" style="428" bestFit="1" customWidth="1"/>
    <col min="25" max="16384" width="9.140625" style="428"/>
  </cols>
  <sheetData>
    <row r="1" spans="1:113">
      <c r="N1" s="363">
        <f>(LARGE(B9:B488,1))</f>
        <v>42705</v>
      </c>
    </row>
    <row r="2" spans="1:113">
      <c r="N2" s="363">
        <f>MATCH(N1,B9:B488,0)+8</f>
        <v>98</v>
      </c>
    </row>
    <row r="3" spans="1:113">
      <c r="N3" s="363" t="str">
        <f ca="1">IF(MONTH(INDIRECT(CONCATENATE("B",N2)))=12, "Calendar Year", "Financial year")</f>
        <v>Calendar Year</v>
      </c>
    </row>
    <row r="5" spans="1:113">
      <c r="B5" s="314" t="s">
        <v>88</v>
      </c>
      <c r="C5" s="121"/>
      <c r="D5" s="121"/>
      <c r="E5" s="121"/>
      <c r="F5" s="121"/>
      <c r="G5" s="120"/>
      <c r="H5" s="120"/>
      <c r="I5" s="120"/>
      <c r="J5" s="120"/>
      <c r="K5" s="120"/>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50"/>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row>
    <row r="6" spans="1:113">
      <c r="A6" s="121"/>
      <c r="C6" s="121"/>
      <c r="D6" s="121"/>
      <c r="E6" s="121"/>
      <c r="F6" s="121"/>
      <c r="G6" s="120"/>
      <c r="H6" s="120"/>
      <c r="I6" s="120"/>
      <c r="J6" s="120"/>
      <c r="K6" s="120"/>
      <c r="L6" s="121"/>
      <c r="M6" s="121"/>
      <c r="N6" s="121"/>
      <c r="O6" s="121"/>
      <c r="P6" s="121"/>
      <c r="Q6" s="121"/>
      <c r="R6" s="121"/>
      <c r="S6" s="121"/>
      <c r="T6" s="121"/>
      <c r="U6" s="121"/>
      <c r="V6" s="121"/>
      <c r="W6" s="121"/>
      <c r="X6" s="121"/>
      <c r="Y6" s="121"/>
      <c r="Z6" s="121"/>
      <c r="AA6" s="121"/>
      <c r="AB6" s="121"/>
      <c r="AC6" s="121"/>
      <c r="AD6" s="121"/>
      <c r="AE6" s="121"/>
      <c r="AF6" s="121"/>
      <c r="AG6" s="121"/>
      <c r="AH6" s="121"/>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50"/>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row>
    <row r="7" spans="1:113" ht="15.75" thickBot="1">
      <c r="B7" s="15" t="s">
        <v>594</v>
      </c>
      <c r="C7" s="15"/>
      <c r="D7" s="15"/>
      <c r="E7" s="15"/>
      <c r="F7" s="15"/>
      <c r="G7" s="15"/>
      <c r="H7" s="15"/>
      <c r="I7" s="15"/>
      <c r="J7" s="15"/>
      <c r="K7" s="15"/>
      <c r="L7" s="15"/>
      <c r="N7" s="15" t="s">
        <v>581</v>
      </c>
      <c r="O7" s="15"/>
      <c r="P7" s="15"/>
      <c r="Q7" s="15"/>
      <c r="R7" s="15"/>
      <c r="S7" s="109"/>
      <c r="T7" s="15" t="s">
        <v>582</v>
      </c>
      <c r="U7" s="15"/>
      <c r="V7" s="15"/>
      <c r="W7" s="15"/>
      <c r="X7" s="15"/>
    </row>
    <row r="8" spans="1:113" ht="60.75" thickBot="1">
      <c r="B8" s="90" t="s">
        <v>40</v>
      </c>
      <c r="C8" s="91" t="s">
        <v>79</v>
      </c>
      <c r="D8" s="91" t="s">
        <v>80</v>
      </c>
      <c r="E8" s="91" t="s">
        <v>81</v>
      </c>
      <c r="F8" s="91" t="s">
        <v>82</v>
      </c>
      <c r="G8" s="91" t="s">
        <v>83</v>
      </c>
      <c r="H8" s="91" t="s">
        <v>84</v>
      </c>
      <c r="I8" s="91" t="s">
        <v>85</v>
      </c>
      <c r="J8" s="92" t="s">
        <v>587</v>
      </c>
      <c r="K8" s="91" t="s">
        <v>588</v>
      </c>
      <c r="L8" s="92" t="s">
        <v>585</v>
      </c>
      <c r="M8" s="433"/>
      <c r="N8" s="57" t="s">
        <v>86</v>
      </c>
      <c r="O8" s="91" t="s">
        <v>74</v>
      </c>
      <c r="P8" s="91" t="s">
        <v>75</v>
      </c>
      <c r="Q8" s="91" t="s">
        <v>585</v>
      </c>
      <c r="R8" s="92" t="s">
        <v>76</v>
      </c>
      <c r="S8" s="111"/>
      <c r="T8" s="57" t="s">
        <v>86</v>
      </c>
      <c r="U8" s="91" t="s">
        <v>74</v>
      </c>
      <c r="V8" s="91" t="s">
        <v>75</v>
      </c>
      <c r="W8" s="91" t="s">
        <v>585</v>
      </c>
      <c r="X8" s="92" t="s">
        <v>76</v>
      </c>
      <c r="Y8" s="433"/>
      <c r="Z8" s="433"/>
      <c r="AA8" s="433"/>
      <c r="AB8" s="433"/>
      <c r="AC8" s="433"/>
      <c r="AD8" s="433"/>
      <c r="AE8" s="433"/>
      <c r="AF8" s="433"/>
      <c r="AG8" s="433"/>
      <c r="AH8" s="433"/>
      <c r="AI8" s="433"/>
      <c r="AJ8" s="433"/>
      <c r="AK8" s="433"/>
      <c r="AL8" s="433"/>
    </row>
    <row r="9" spans="1:113">
      <c r="A9" s="89">
        <f t="shared" ref="A9:A72" si="0">YEAR(B9)</f>
        <v>1994</v>
      </c>
      <c r="B9" s="69">
        <v>34578</v>
      </c>
      <c r="C9" s="123"/>
      <c r="D9" s="123"/>
      <c r="E9" s="124">
        <v>18.399999999999999</v>
      </c>
      <c r="F9" s="123">
        <v>12.3</v>
      </c>
      <c r="G9" s="123">
        <v>99.1</v>
      </c>
      <c r="H9" s="123">
        <v>0</v>
      </c>
      <c r="I9" s="124">
        <v>14.6</v>
      </c>
      <c r="J9" s="123">
        <v>180.5</v>
      </c>
      <c r="K9" s="67">
        <f t="shared" ref="K9:K72" si="1">J9-G9</f>
        <v>81.400000000000006</v>
      </c>
      <c r="L9" s="129">
        <f t="shared" ref="L9:L72" si="2">G9/J9</f>
        <v>0.54903047091412738</v>
      </c>
      <c r="N9" s="94">
        <f t="shared" ref="N9:N16" si="3">N10-1</f>
        <v>2007</v>
      </c>
      <c r="O9" s="98">
        <f t="shared" ref="O9:O18" si="4">SUMIF($A$9:$A$509,$N9,G$9:G$509)</f>
        <v>1904.1000000000001</v>
      </c>
      <c r="P9" s="98">
        <f>R9-O9</f>
        <v>756.59999999999968</v>
      </c>
      <c r="Q9" s="105">
        <f>O9/R9</f>
        <v>0.71563874168451924</v>
      </c>
      <c r="R9" s="112">
        <f t="shared" ref="R9:R18" si="5">SUMIF($A$9:$A$509,$N9,J$9:J$509)</f>
        <v>2660.7</v>
      </c>
      <c r="S9" s="110"/>
      <c r="T9" s="94" t="str">
        <f t="shared" ref="T9:T18" ca="1" si="6">IF($N$3="Calendar Year",CONCATENATE(N9-1,"-",N9),CONCATENATE(N9,"-",N9+1))</f>
        <v>2006-2007</v>
      </c>
      <c r="U9" s="98">
        <f ca="1">IF($N$3="Calendar Year",SUMIF($B$9:$B$509,LARGE($B$9:$B$509,39),G$9:G$509)+SUMIF($B$9:$B$509,LARGE($B$9:$B$509,40),G$9:G$509)+SUMIF($B$9:$B$509,LARGE($B$9:$B$509,41),G$9:G$509)+SUMIF($B$9:$B$509,LARGE($B$9:$B$509,42),G$9:G$509),SUMIF($B$9:$B$509,LARGE($B$9:$B$509,37),G$9:G$509)+SUMIF($B$9:$B$509,LARGE($B$9:$B$509,38),G$9:G$509)+SUMIF($B$9:$B$509,LARGE($B$9:$B$509,39),G$9:G$509)+SUMIF($B$9:$B$509,LARGE($B$9:$B$509,40),G$9:G$509))</f>
        <v>1480.9</v>
      </c>
      <c r="V9" s="98">
        <f ca="1">X9-U9</f>
        <v>744.59999999999991</v>
      </c>
      <c r="W9" s="105">
        <f ca="1">U9/X9</f>
        <v>0.66542350033700293</v>
      </c>
      <c r="X9" s="117">
        <f ca="1">IF($N$3="Calendar Year",SUMIF($B$9:$B$509,LARGE($B$9:$B$509,39),J$9:J$509)+SUMIF($B$9:$B$509,LARGE($B$9:$B$509,40),J$9:J$509)+SUMIF($B$9:$B$509,LARGE($B$9:$B$509,41),J$9:J$509)+SUMIF($B$9:$B$509,LARGE($B$9:$B$509,42),J$9:J$509),SUMIF($B$9:$B$509,LARGE($B$9:$B$509,37),J$9:J$509)+SUMIF($B$9:$B$509,LARGE($B$9:$B$509,38),J$9:J$509)+SUMIF($B$9:$B$509,LARGE($B$9:$B$509,39),J$9:J$509)+SUMIF($B$9:$B$509,LARGE($B$9:$B$509,40),J$9:J$509))</f>
        <v>2225.5</v>
      </c>
    </row>
    <row r="10" spans="1:113">
      <c r="A10" s="89">
        <f t="shared" si="0"/>
        <v>1994</v>
      </c>
      <c r="B10" s="69">
        <v>34669</v>
      </c>
      <c r="C10" s="125"/>
      <c r="D10" s="125"/>
      <c r="E10" s="126">
        <v>21.1</v>
      </c>
      <c r="F10" s="125">
        <v>12.6</v>
      </c>
      <c r="G10" s="125">
        <v>91</v>
      </c>
      <c r="H10" s="125"/>
      <c r="I10" s="126">
        <v>37.9</v>
      </c>
      <c r="J10" s="125">
        <v>177.4</v>
      </c>
      <c r="K10" s="77">
        <f t="shared" si="1"/>
        <v>86.4</v>
      </c>
      <c r="L10" s="130">
        <f t="shared" si="2"/>
        <v>0.51296505073280718</v>
      </c>
      <c r="N10" s="95">
        <f t="shared" si="3"/>
        <v>2008</v>
      </c>
      <c r="O10" s="99">
        <f t="shared" si="4"/>
        <v>2454</v>
      </c>
      <c r="P10" s="99">
        <f t="shared" ref="P10:P18" si="7">R10-O10</f>
        <v>907.29999999999973</v>
      </c>
      <c r="Q10" s="106">
        <f t="shared" ref="Q10:Q18" si="8">O10/R10</f>
        <v>0.73007467348942379</v>
      </c>
      <c r="R10" s="113">
        <f t="shared" si="5"/>
        <v>3361.2999999999997</v>
      </c>
      <c r="S10" s="110"/>
      <c r="T10" s="95" t="str">
        <f t="shared" ca="1" si="6"/>
        <v>2007-2008</v>
      </c>
      <c r="U10" s="99">
        <f ca="1">IF($N$3="Calendar Year",SUMIF($B$9:$B$509,LARGE($B$9:$B$509,35),G$9:G$509)+SUMIF($B$9:$B$509,LARGE($B$9:$B$509,36),G$9:G$509)+SUMIF($B$9:$B$509,LARGE($B$9:$B$509,37),G$9:G$509)+SUMIF($B$9:$B$509,LARGE($B$9:$B$509,38),G$9:G$509),SUMIF($B$9:$B$509,LARGE($B$9:$B$509,33),G$9:G$509)+SUMIF($B$9:$B$509,LARGE($B$9:$B$509,34),G$9:G$509)+SUMIF($B$9:$B$509,LARGE($B$9:$B$509,35),G$9:G$509)+SUMIF($B$9:$B$509,LARGE($B$9:$B$509,36),G$9:G$509))</f>
        <v>2174.8000000000002</v>
      </c>
      <c r="V10" s="99">
        <f t="shared" ref="V10:V18" ca="1" si="9">X10-U10</f>
        <v>860.09999999999945</v>
      </c>
      <c r="W10" s="106">
        <f t="shared" ref="W10:W18" ca="1" si="10">U10/X10</f>
        <v>0.71659692246861528</v>
      </c>
      <c r="X10" s="118">
        <f ca="1">IF($N$3="Calendar Year",SUMIF($B$9:$B$509,LARGE($B$9:$B$509,35),J$9:J$509)+SUMIF($B$9:$B$509,LARGE($B$9:$B$509,36),J$9:J$509)+SUMIF($B$9:$B$509,LARGE($B$9:$B$509,37),J$9:J$509)+SUMIF($B$9:$B$509,LARGE($B$9:$B$509,38),J$9:J$509),SUMIF($B$9:$B$509,LARGE($B$9:$B$509,33),J$9:J$509)+SUMIF($B$9:$B$509,LARGE($B$9:$B$509,34),J$9:J$509)+SUMIF($B$9:$B$509,LARGE($B$9:$B$509,35),J$9:J$509)+SUMIF($B$9:$B$509,LARGE($B$9:$B$509,36),J$9:J$509))</f>
        <v>3034.8999999999996</v>
      </c>
    </row>
    <row r="11" spans="1:113">
      <c r="A11" s="89">
        <f t="shared" si="0"/>
        <v>1995</v>
      </c>
      <c r="B11" s="69">
        <v>34759</v>
      </c>
      <c r="C11" s="123"/>
      <c r="D11" s="123"/>
      <c r="E11" s="124">
        <v>16.899999999999999</v>
      </c>
      <c r="F11" s="123">
        <v>7.4</v>
      </c>
      <c r="G11" s="123">
        <v>65.599999999999994</v>
      </c>
      <c r="H11" s="123"/>
      <c r="I11" s="124">
        <v>16.399999999999999</v>
      </c>
      <c r="J11" s="123">
        <v>119.4</v>
      </c>
      <c r="K11" s="67">
        <f t="shared" si="1"/>
        <v>53.800000000000011</v>
      </c>
      <c r="L11" s="129">
        <f t="shared" si="2"/>
        <v>0.54941373534338356</v>
      </c>
      <c r="N11" s="96">
        <f t="shared" si="3"/>
        <v>2009</v>
      </c>
      <c r="O11" s="100">
        <f t="shared" si="4"/>
        <v>2752.3999999999996</v>
      </c>
      <c r="P11" s="100">
        <f t="shared" si="7"/>
        <v>888.30000000000018</v>
      </c>
      <c r="Q11" s="107">
        <f t="shared" si="8"/>
        <v>0.75600845991155541</v>
      </c>
      <c r="R11" s="114">
        <f t="shared" si="5"/>
        <v>3640.7</v>
      </c>
      <c r="S11" s="110"/>
      <c r="T11" s="96" t="str">
        <f t="shared" ca="1" si="6"/>
        <v>2008-2009</v>
      </c>
      <c r="U11" s="100">
        <f ca="1">IF($N$3="Calendar Year",SUMIF($B$9:$B$509,LARGE($B$9:$B$509,31),G$9:G$509)+SUMIF($B$9:$B$509,LARGE($B$9:$B$509,32),G$9:G$509)+SUMIF($B$9:$B$509,LARGE($B$9:$B$509,33),G$9:G$509)+SUMIF($B$9:$B$509,LARGE($B$9:$B$509,34),G$9:G$509),SUMIF($B$9:$B$509,LARGE($B$9:$B$509,29),G$9:G$509)+SUMIF($B$9:$B$509,LARGE($B$9:$B$509,30),G$9:G$509)+SUMIF($B$9:$B$509,LARGE($B$9:$B$509,31),G$9:G$509)+SUMIF($B$9:$B$509,LARGE($B$9:$B$509,32),G$9:G$509))</f>
        <v>2945.2</v>
      </c>
      <c r="V11" s="100">
        <f t="shared" ca="1" si="9"/>
        <v>865.5</v>
      </c>
      <c r="W11" s="107">
        <f t="shared" ca="1" si="10"/>
        <v>0.77287637441939805</v>
      </c>
      <c r="X11" s="119">
        <f ca="1">IF($N$3="Calendar Year",SUMIF($B$9:$B$509,LARGE($B$9:$B$509,31),J$9:J$509)+SUMIF($B$9:$B$509,LARGE($B$9:$B$509,32),J$9:J$509)+SUMIF($B$9:$B$509,LARGE($B$9:$B$509,33),J$9:J$509)+SUMIF($B$9:$B$509,LARGE($B$9:$B$509,34),J$9:J$509),SUMIF($B$9:$B$509,LARGE($B$9:$B$509,29),J$9:J$509)+SUMIF($B$9:$B$509,LARGE($B$9:$B$509,30),J$9:J$509)+SUMIF($B$9:$B$509,LARGE($B$9:$B$509,31),J$9:J$509)+SUMIF($B$9:$B$509,LARGE($B$9:$B$509,32),J$9:J$509))</f>
        <v>3810.7</v>
      </c>
    </row>
    <row r="12" spans="1:113">
      <c r="A12" s="89">
        <f t="shared" si="0"/>
        <v>1995</v>
      </c>
      <c r="B12" s="69">
        <v>34851</v>
      </c>
      <c r="C12" s="125"/>
      <c r="D12" s="125"/>
      <c r="E12" s="126">
        <v>26.3</v>
      </c>
      <c r="F12" s="125">
        <v>14.4</v>
      </c>
      <c r="G12" s="125">
        <v>89.2</v>
      </c>
      <c r="H12" s="125"/>
      <c r="I12" s="126">
        <v>40.200000000000003</v>
      </c>
      <c r="J12" s="125">
        <v>195.4</v>
      </c>
      <c r="K12" s="77">
        <f t="shared" si="1"/>
        <v>106.2</v>
      </c>
      <c r="L12" s="130">
        <f t="shared" si="2"/>
        <v>0.45649948822927328</v>
      </c>
      <c r="N12" s="95">
        <f t="shared" si="3"/>
        <v>2010</v>
      </c>
      <c r="O12" s="99">
        <f t="shared" si="4"/>
        <v>2495.3000000000002</v>
      </c>
      <c r="P12" s="99">
        <f t="shared" si="7"/>
        <v>1074.0999999999999</v>
      </c>
      <c r="Q12" s="106">
        <f t="shared" si="8"/>
        <v>0.69908107805233377</v>
      </c>
      <c r="R12" s="113">
        <f t="shared" si="5"/>
        <v>3569.4</v>
      </c>
      <c r="S12" s="110"/>
      <c r="T12" s="95" t="str">
        <f t="shared" ca="1" si="6"/>
        <v>2009-2010</v>
      </c>
      <c r="U12" s="99">
        <f ca="1">IF($N$3="Calendar Year",SUMIF($B$9:$B$509,LARGE($B$9:$B$509,27),G$9:G$509)+SUMIF($B$9:$B$509,LARGE($B$9:$B$509,28),G$9:G$509)+SUMIF($B$9:$B$509,LARGE($B$9:$B$509,29),G$9:G$509)+SUMIF($B$9:$B$509,LARGE($B$9:$B$509,30),G$9:G$509),SUMIF($B$9:$B$509,LARGE($B$9:$B$509,25),G$9:G$509)+SUMIF($B$9:$B$509,LARGE($B$9:$B$509,26),G$9:G$509)+SUMIF($B$9:$B$509,LARGE($B$9:$B$509,27),G$9:G$509)+SUMIF($B$9:$B$509,LARGE($B$9:$B$509,28),G$9:G$509))</f>
        <v>2484.6</v>
      </c>
      <c r="V12" s="99">
        <f t="shared" ca="1" si="9"/>
        <v>1009.5000000000005</v>
      </c>
      <c r="W12" s="106">
        <f t="shared" ca="1" si="10"/>
        <v>0.71108439941615853</v>
      </c>
      <c r="X12" s="118">
        <f ca="1">IF($N$3="Calendar Year",SUMIF($B$9:$B$509,LARGE($B$9:$B$509,27),J$9:J$509)+SUMIF($B$9:$B$509,LARGE($B$9:$B$509,28),J$9:J$509)+SUMIF($B$9:$B$509,LARGE($B$9:$B$509,29),J$9:J$509)+SUMIF($B$9:$B$509,LARGE($B$9:$B$509,30),J$9:J$509),SUMIF($B$9:$B$509,LARGE($B$9:$B$509,25),J$9:J$509)+SUMIF($B$9:$B$509,LARGE($B$9:$B$509,26),J$9:J$509)+SUMIF($B$9:$B$509,LARGE($B$9:$B$509,27),J$9:J$509)+SUMIF($B$9:$B$509,LARGE($B$9:$B$509,28),J$9:J$509))</f>
        <v>3494.1000000000004</v>
      </c>
    </row>
    <row r="13" spans="1:113">
      <c r="A13" s="89">
        <f t="shared" si="0"/>
        <v>1995</v>
      </c>
      <c r="B13" s="69">
        <v>34943</v>
      </c>
      <c r="C13" s="123"/>
      <c r="D13" s="123"/>
      <c r="E13" s="124">
        <v>34.5</v>
      </c>
      <c r="F13" s="123">
        <v>18.3</v>
      </c>
      <c r="G13" s="123">
        <v>88.5</v>
      </c>
      <c r="H13" s="123"/>
      <c r="I13" s="124">
        <v>27.1</v>
      </c>
      <c r="J13" s="123">
        <v>193.1</v>
      </c>
      <c r="K13" s="67">
        <f t="shared" si="1"/>
        <v>104.6</v>
      </c>
      <c r="L13" s="129">
        <f t="shared" si="2"/>
        <v>0.45831175556706372</v>
      </c>
      <c r="N13" s="96">
        <f t="shared" si="3"/>
        <v>2011</v>
      </c>
      <c r="O13" s="100">
        <f t="shared" si="4"/>
        <v>2345.8000000000002</v>
      </c>
      <c r="P13" s="100">
        <f t="shared" si="7"/>
        <v>946.80000000000018</v>
      </c>
      <c r="Q13" s="107">
        <f t="shared" si="8"/>
        <v>0.71244609123489033</v>
      </c>
      <c r="R13" s="114">
        <f t="shared" si="5"/>
        <v>3292.6000000000004</v>
      </c>
      <c r="S13" s="110"/>
      <c r="T13" s="96" t="str">
        <f t="shared" ca="1" si="6"/>
        <v>2010-2011</v>
      </c>
      <c r="U13" s="100">
        <f ca="1">IF($N$3="Calendar Year",SUMIF($B$9:$B$509,LARGE($B$9:$B$509,23),G$9:G$509)+SUMIF($B$9:$B$509,LARGE($B$9:$B$509,24),G$9:G$509)+SUMIF($B$9:$B$509,LARGE($B$9:$B$509,25),G$9:G$509)+SUMIF($B$9:$B$509,LARGE($B$9:$B$509,26),G$9:G$509),SUMIF($B$9:$B$509,LARGE($B$9:$B$509,21),G$9:G$509)+SUMIF($B$9:$B$509,LARGE($B$9:$B$509,22),G$9:G$509)+SUMIF($B$9:$B$509,LARGE($B$9:$B$509,23),G$9:G$509)+SUMIF($B$9:$B$509,LARGE($B$9:$B$509,24),G$9:G$509))</f>
        <v>2402.3000000000002</v>
      </c>
      <c r="V13" s="100">
        <f t="shared" ca="1" si="9"/>
        <v>913.09999999999991</v>
      </c>
      <c r="W13" s="107">
        <f t="shared" ca="1" si="10"/>
        <v>0.72458828497315564</v>
      </c>
      <c r="X13" s="119">
        <f ca="1">IF($N$3="Calendar Year",SUMIF($B$9:$B$509,LARGE($B$9:$B$509,23),J$9:J$509)+SUMIF($B$9:$B$509,LARGE($B$9:$B$509,24),J$9:J$509)+SUMIF($B$9:$B$509,LARGE($B$9:$B$509,25),J$9:J$509)+SUMIF($B$9:$B$509,LARGE($B$9:$B$509,26),J$9:J$509),SUMIF($B$9:$B$509,LARGE($B$9:$B$509,21),J$9:J$509)+SUMIF($B$9:$B$509,LARGE($B$9:$B$509,22),J$9:J$509)+SUMIF($B$9:$B$509,LARGE($B$9:$B$509,23),J$9:J$509)+SUMIF($B$9:$B$509,LARGE($B$9:$B$509,24),J$9:J$509))</f>
        <v>3315.4</v>
      </c>
    </row>
    <row r="14" spans="1:113">
      <c r="A14" s="89">
        <f t="shared" si="0"/>
        <v>1995</v>
      </c>
      <c r="B14" s="69">
        <v>35034</v>
      </c>
      <c r="C14" s="125"/>
      <c r="D14" s="125"/>
      <c r="E14" s="126">
        <v>32.799999999999997</v>
      </c>
      <c r="F14" s="125">
        <v>13.8</v>
      </c>
      <c r="G14" s="125">
        <v>75.7</v>
      </c>
      <c r="H14" s="125"/>
      <c r="I14" s="126">
        <v>56.4</v>
      </c>
      <c r="J14" s="125">
        <v>191.6</v>
      </c>
      <c r="K14" s="77">
        <f t="shared" si="1"/>
        <v>115.89999999999999</v>
      </c>
      <c r="L14" s="130">
        <f t="shared" si="2"/>
        <v>0.39509394572025053</v>
      </c>
      <c r="N14" s="95">
        <f t="shared" si="3"/>
        <v>2012</v>
      </c>
      <c r="O14" s="99">
        <f t="shared" si="4"/>
        <v>2756.6000000000004</v>
      </c>
      <c r="P14" s="99">
        <f t="shared" si="7"/>
        <v>1245.7999999999997</v>
      </c>
      <c r="Q14" s="106">
        <f t="shared" si="8"/>
        <v>0.68873675794523292</v>
      </c>
      <c r="R14" s="113">
        <f t="shared" si="5"/>
        <v>4002.4</v>
      </c>
      <c r="S14" s="110"/>
      <c r="T14" s="95" t="str">
        <f t="shared" ca="1" si="6"/>
        <v>2011-2012</v>
      </c>
      <c r="U14" s="99">
        <f ca="1">IF($N$3="Calendar Year",SUMIF($B$9:$B$509,LARGE($B$9:$B$509,19),G$9:G$509)+SUMIF($B$9:$B$509,LARGE($B$9:$B$509,20),G$9:G$509)+SUMIF($B$9:$B$509,LARGE($B$9:$B$509,21),G$9:G$509)+SUMIF($B$9:$B$509,LARGE($B$9:$B$509,22),G$9:G$509),SUMIF($B$9:$B$509,LARGE($B$9:$B$509,17),G$9:G$509)+SUMIF($B$9:$B$509,LARGE($B$9:$B$509,18),G$9:G$509)+SUMIF($B$9:$B$509,LARGE($B$9:$B$509,19),G$9:G$509)+SUMIF($B$9:$B$509,LARGE($B$9:$B$509,20),G$9:G$509))</f>
        <v>2117.2000000000003</v>
      </c>
      <c r="V14" s="99">
        <f t="shared" ca="1" si="9"/>
        <v>1079.7999999999997</v>
      </c>
      <c r="W14" s="106">
        <f t="shared" ca="1" si="10"/>
        <v>0.66224585548952153</v>
      </c>
      <c r="X14" s="118">
        <f ca="1">IF($N$3="Calendar Year",SUMIF($B$9:$B$509,LARGE($B$9:$B$509,19),J$9:J$509)+SUMIF($B$9:$B$509,LARGE($B$9:$B$509,20),J$9:J$509)+SUMIF($B$9:$B$509,LARGE($B$9:$B$509,21),J$9:J$509)+SUMIF($B$9:$B$509,LARGE($B$9:$B$509,22),J$9:J$509),SUMIF($B$9:$B$509,LARGE($B$9:$B$509,17),J$9:J$509)+SUMIF($B$9:$B$509,LARGE($B$9:$B$509,18),J$9:J$509)+SUMIF($B$9:$B$509,LARGE($B$9:$B$509,19),J$9:J$509)+SUMIF($B$9:$B$509,LARGE($B$9:$B$509,20),J$9:J$509))</f>
        <v>3197</v>
      </c>
    </row>
    <row r="15" spans="1:113">
      <c r="A15" s="89">
        <f t="shared" si="0"/>
        <v>1996</v>
      </c>
      <c r="B15" s="69">
        <v>35125</v>
      </c>
      <c r="C15" s="123"/>
      <c r="D15" s="123"/>
      <c r="E15" s="124">
        <v>16.7</v>
      </c>
      <c r="F15" s="123">
        <v>9.6</v>
      </c>
      <c r="G15" s="123">
        <v>74.599999999999994</v>
      </c>
      <c r="H15" s="123">
        <v>0</v>
      </c>
      <c r="I15" s="124">
        <v>26.8</v>
      </c>
      <c r="J15" s="123">
        <v>139</v>
      </c>
      <c r="K15" s="67">
        <f t="shared" si="1"/>
        <v>64.400000000000006</v>
      </c>
      <c r="L15" s="129">
        <f t="shared" si="2"/>
        <v>0.53669064748201434</v>
      </c>
      <c r="N15" s="96">
        <f t="shared" si="3"/>
        <v>2013</v>
      </c>
      <c r="O15" s="100">
        <f t="shared" si="4"/>
        <v>2984.2000000000003</v>
      </c>
      <c r="P15" s="100">
        <f t="shared" si="7"/>
        <v>1545.2000000000003</v>
      </c>
      <c r="Q15" s="107">
        <f t="shared" si="8"/>
        <v>0.65885106195081022</v>
      </c>
      <c r="R15" s="114">
        <f t="shared" si="5"/>
        <v>4529.4000000000005</v>
      </c>
      <c r="S15" s="110"/>
      <c r="T15" s="96" t="str">
        <f t="shared" ca="1" si="6"/>
        <v>2012-2013</v>
      </c>
      <c r="U15" s="100">
        <f ca="1">IF($N$3="Calendar Year",SUMIF($B$9:$B$509,LARGE($B$9:$B$509,15),G$9:G$509)+SUMIF($B$9:$B$509,LARGE($B$9:$B$509,16),G$9:G$509)+SUMIF($B$9:$B$509,LARGE($B$9:$B$509,17),G$9:G$509)+SUMIF($B$9:$B$509,LARGE($B$9:$B$509,18),G$9:G$509),SUMIF($B$9:$B$509,LARGE($B$9:$B$509,13),G$9:G$509)+SUMIF($B$9:$B$509,LARGE($B$9:$B$509,14),G$9:G$509)+SUMIF($B$9:$B$509,LARGE($B$9:$B$509,15),G$9:G$509)+SUMIF($B$9:$B$509,LARGE($B$9:$B$509,16),G$9:G$509))</f>
        <v>3293.7999999999997</v>
      </c>
      <c r="V15" s="100">
        <f t="shared" ca="1" si="9"/>
        <v>1499.6</v>
      </c>
      <c r="W15" s="107">
        <f t="shared" ca="1" si="10"/>
        <v>0.68715316894062672</v>
      </c>
      <c r="X15" s="119">
        <f ca="1">IF($N$3="Calendar Year",SUMIF($B$9:$B$509,LARGE($B$9:$B$509,15),J$9:J$509)+SUMIF($B$9:$B$509,LARGE($B$9:$B$509,16),J$9:J$509)+SUMIF($B$9:$B$509,LARGE($B$9:$B$509,17),J$9:J$509)+SUMIF($B$9:$B$509,LARGE($B$9:$B$509,18),J$9:J$509),SUMIF($B$9:$B$509,LARGE($B$9:$B$509,13),J$9:J$509)+SUMIF($B$9:$B$509,LARGE($B$9:$B$509,14),J$9:J$509)+SUMIF($B$9:$B$509,LARGE($B$9:$B$509,15),J$9:J$509)+SUMIF($B$9:$B$509,LARGE($B$9:$B$509,16),J$9:J$509))</f>
        <v>4793.3999999999996</v>
      </c>
    </row>
    <row r="16" spans="1:113">
      <c r="A16" s="89">
        <f t="shared" si="0"/>
        <v>1996</v>
      </c>
      <c r="B16" s="69">
        <v>35217</v>
      </c>
      <c r="C16" s="125"/>
      <c r="D16" s="125"/>
      <c r="E16" s="126">
        <v>22.5</v>
      </c>
      <c r="F16" s="125">
        <v>13.4</v>
      </c>
      <c r="G16" s="125">
        <v>80.3</v>
      </c>
      <c r="H16" s="125">
        <v>0</v>
      </c>
      <c r="I16" s="126">
        <v>38.4</v>
      </c>
      <c r="J16" s="125">
        <v>164.9</v>
      </c>
      <c r="K16" s="77">
        <f t="shared" si="1"/>
        <v>84.600000000000009</v>
      </c>
      <c r="L16" s="130">
        <f t="shared" si="2"/>
        <v>0.48696179502728926</v>
      </c>
      <c r="N16" s="95">
        <f t="shared" si="3"/>
        <v>2014</v>
      </c>
      <c r="O16" s="99">
        <f t="shared" si="4"/>
        <v>2757.9</v>
      </c>
      <c r="P16" s="99">
        <f t="shared" si="7"/>
        <v>1980.9999999999995</v>
      </c>
      <c r="Q16" s="106">
        <f t="shared" si="8"/>
        <v>0.5819704994830025</v>
      </c>
      <c r="R16" s="113">
        <f t="shared" si="5"/>
        <v>4738.8999999999996</v>
      </c>
      <c r="S16" s="110"/>
      <c r="T16" s="95" t="str">
        <f t="shared" ca="1" si="6"/>
        <v>2013-2014</v>
      </c>
      <c r="U16" s="99">
        <f ca="1">IF($N$3="Calendar Year",SUMIF($B$9:$B$509,LARGE($B$9:$B$509,11),G$9:G$509)+SUMIF($B$9:$B$509,LARGE($B$9:$B$509,12),G$9:G$509)+SUMIF($B$9:$B$509,LARGE($B$9:$B$509,13),G$9:G$509)+SUMIF($B$9:$B$509,LARGE($B$9:$B$509,14),G$9:G$509),SUMIF($B$9:$B$509,LARGE($B$9:$B$509,9),G$9:G$509)+SUMIF($B$9:$B$509,LARGE($B$9:$B$509,10),G$9:G$509)+SUMIF($B$9:$B$509,LARGE($B$9:$B$509,11),G$9:G$509)+SUMIF($B$9:$B$509,LARGE($B$9:$B$509,12),G$9:G$509))</f>
        <v>2990.6000000000004</v>
      </c>
      <c r="V16" s="99">
        <f t="shared" ca="1" si="9"/>
        <v>1833.8999999999996</v>
      </c>
      <c r="W16" s="106">
        <f t="shared" ca="1" si="10"/>
        <v>0.61987770753445959</v>
      </c>
      <c r="X16" s="118">
        <f ca="1">IF($N$3="Calendar Year",SUMIF($B$9:$B$509,LARGE($B$9:$B$509,11),J$9:J$509)+SUMIF($B$9:$B$509,LARGE($B$9:$B$509,12),J$9:J$509)+SUMIF($B$9:$B$509,LARGE($B$9:$B$509,13),J$9:J$509)+SUMIF($B$9:$B$509,LARGE($B$9:$B$509,14),J$9:J$509),SUMIF($B$9:$B$509,LARGE($B$9:$B$509,9),J$9:J$509)+SUMIF($B$9:$B$509,LARGE($B$9:$B$509,10),J$9:J$509)+SUMIF($B$9:$B$509,LARGE($B$9:$B$509,11),J$9:J$509)+SUMIF($B$9:$B$509,LARGE($B$9:$B$509,12),J$9:J$509))</f>
        <v>4824.5</v>
      </c>
    </row>
    <row r="17" spans="1:24">
      <c r="A17" s="89">
        <f t="shared" si="0"/>
        <v>1996</v>
      </c>
      <c r="B17" s="69">
        <v>35309</v>
      </c>
      <c r="C17" s="123"/>
      <c r="D17" s="123"/>
      <c r="E17" s="124">
        <v>36.4</v>
      </c>
      <c r="F17" s="123">
        <v>22.7</v>
      </c>
      <c r="G17" s="123">
        <v>130.69999999999999</v>
      </c>
      <c r="H17" s="123">
        <v>0</v>
      </c>
      <c r="I17" s="124">
        <v>6.6</v>
      </c>
      <c r="J17" s="123">
        <v>202.8</v>
      </c>
      <c r="K17" s="67">
        <f t="shared" si="1"/>
        <v>72.100000000000023</v>
      </c>
      <c r="L17" s="129">
        <f t="shared" si="2"/>
        <v>0.64447731755424054</v>
      </c>
      <c r="N17" s="96">
        <f>N18-1</f>
        <v>2015</v>
      </c>
      <c r="O17" s="100">
        <f t="shared" si="4"/>
        <v>1617.1</v>
      </c>
      <c r="P17" s="100">
        <f t="shared" si="7"/>
        <v>1106.2000000000003</v>
      </c>
      <c r="Q17" s="107">
        <f t="shared" si="8"/>
        <v>0.5938016377189439</v>
      </c>
      <c r="R17" s="114">
        <f t="shared" si="5"/>
        <v>2723.3</v>
      </c>
      <c r="S17" s="110"/>
      <c r="T17" s="96" t="str">
        <f t="shared" ca="1" si="6"/>
        <v>2014-2015</v>
      </c>
      <c r="U17" s="100">
        <f ca="1">IF($N$3="Calendar Year",SUMIF($B$9:$B$509,LARGE($B$9:$B$509,7),G$9:G$509)+SUMIF($B$9:$B$509,LARGE($B$9:$B$509,8),G$9:G$509)+SUMIF($B$9:$B$509,LARGE($B$9:$B$509,9),G$9:G$509)+SUMIF($B$9:$B$509,LARGE($B$9:$B$509,10),G$9:G$509),SUMIF($B$9:$B$509,LARGE($B$9:$B$509,5),G$9:G$509)+SUMIF($B$9:$B$509,LARGE($B$9:$B$509,6),G$9:G$509)+SUMIF($B$9:$B$509,LARGE($B$9:$B$509,7),G$9:G$509)+SUMIF($B$9:$B$509,LARGE($B$9:$B$509,8),G$9:G$509))</f>
        <v>2068.9</v>
      </c>
      <c r="V17" s="100">
        <f t="shared" ca="1" si="9"/>
        <v>1722.5</v>
      </c>
      <c r="W17" s="107">
        <f t="shared" ca="1" si="10"/>
        <v>0.54568233370259012</v>
      </c>
      <c r="X17" s="119">
        <f ca="1">IF($N$3="Calendar Year",SUMIF($B$9:$B$509,LARGE($B$9:$B$509,7),J$9:J$509)+SUMIF($B$9:$B$509,LARGE($B$9:$B$509,8),J$9:J$509)+SUMIF($B$9:$B$509,LARGE($B$9:$B$509,9),J$9:J$509)+SUMIF($B$9:$B$509,LARGE($B$9:$B$509,10),J$9:J$509),SUMIF($B$9:$B$509,LARGE($B$9:$B$509,5),J$9:J$509)+SUMIF($B$9:$B$509,LARGE($B$9:$B$509,6),J$9:J$509)+SUMIF($B$9:$B$509,LARGE($B$9:$B$509,7),J$9:J$509)+SUMIF($B$9:$B$509,LARGE($B$9:$B$509,8),J$9:J$509))</f>
        <v>3791.4</v>
      </c>
    </row>
    <row r="18" spans="1:24" ht="15.75" thickBot="1">
      <c r="A18" s="89">
        <f t="shared" si="0"/>
        <v>1996</v>
      </c>
      <c r="B18" s="69">
        <v>35400</v>
      </c>
      <c r="C18" s="125"/>
      <c r="D18" s="125"/>
      <c r="E18" s="126">
        <v>40.6</v>
      </c>
      <c r="F18" s="125"/>
      <c r="G18" s="125">
        <v>132.6</v>
      </c>
      <c r="H18" s="125"/>
      <c r="I18" s="126"/>
      <c r="J18" s="125">
        <v>241.2</v>
      </c>
      <c r="K18" s="77">
        <f t="shared" si="1"/>
        <v>108.6</v>
      </c>
      <c r="L18" s="130">
        <f t="shared" si="2"/>
        <v>0.54975124378109452</v>
      </c>
      <c r="N18" s="97">
        <v>2016</v>
      </c>
      <c r="O18" s="101">
        <f t="shared" si="4"/>
        <v>995.99999999999989</v>
      </c>
      <c r="P18" s="101">
        <f t="shared" si="7"/>
        <v>405.70000000000016</v>
      </c>
      <c r="Q18" s="108">
        <f t="shared" si="8"/>
        <v>0.71056574159948627</v>
      </c>
      <c r="R18" s="115">
        <f t="shared" si="5"/>
        <v>1401.7</v>
      </c>
      <c r="S18" s="110"/>
      <c r="T18" s="97" t="str">
        <f t="shared" ca="1" si="6"/>
        <v>2015-2016</v>
      </c>
      <c r="U18" s="532">
        <f ca="1">IF($N$3="Calendar Year",SUMIF($B$9:$B$509,LARGE($B$9:$B$509,3),G$9:G$509)+SUMIF($B$9:$B$509,LARGE($B$9:$B$509,4),G$9:G$509)+SUMIF($B$9:$B$509,LARGE($B$9:$B$509,5),G$9:G$509)+SUMIF($B$9:$B$509,LARGE($B$9:$B$509,6),G$9:G$509),SUMIF($B$9:$B$509,LARGE($B$9:$B$509,1),G$9:G$509)+SUMIF($B$9:$B$509,LARGE($B$9:$B$509,2),G$9:G$509)+SUMIF($B$9:$B$509,LARGE($B$9:$B$509,3),G$9:G$509)+SUMIF($B$9:$B$509,LARGE($B$9:$B$509,4),G$9:G$509))</f>
        <v>1297.4000000000001</v>
      </c>
      <c r="V18" s="532">
        <f t="shared" ca="1" si="9"/>
        <v>478.79999999999973</v>
      </c>
      <c r="W18" s="533">
        <f t="shared" ca="1" si="10"/>
        <v>0.73043576173854308</v>
      </c>
      <c r="X18" s="534">
        <f ca="1">IF($N$3="Calendar Year",SUMIF($B$9:$B$509,LARGE($B$9:$B$509,3),J$9:J$509)+SUMIF($B$9:$B$509,LARGE($B$9:$B$509,4),J$9:J$509)+SUMIF($B$9:$B$509,LARGE($B$9:$B$509,5),J$9:J$509)+SUMIF($B$9:$B$509,LARGE($B$9:$B$509,6),J$9:J$509),SUMIF($B$9:$B$509,LARGE($B$9:$B$509,1),J$9:J$509)+SUMIF($B$9:$B$509,LARGE($B$9:$B$509,2),J$9:J$509)+SUMIF($B$9:$B$509,LARGE($B$9:$B$509,3),J$9:J$509)+SUMIF($B$9:$B$509,LARGE($B$9:$B$509,4),J$9:J$509))</f>
        <v>1776.1999999999998</v>
      </c>
    </row>
    <row r="19" spans="1:24">
      <c r="A19" s="89">
        <f t="shared" si="0"/>
        <v>1997</v>
      </c>
      <c r="B19" s="69">
        <v>35490</v>
      </c>
      <c r="C19" s="123"/>
      <c r="D19" s="123"/>
      <c r="E19" s="124">
        <v>12.5</v>
      </c>
      <c r="F19" s="123"/>
      <c r="G19" s="123">
        <v>78.599999999999994</v>
      </c>
      <c r="H19" s="123">
        <v>0</v>
      </c>
      <c r="I19" s="124"/>
      <c r="J19" s="123">
        <v>162.19999999999999</v>
      </c>
      <c r="K19" s="67">
        <f t="shared" si="1"/>
        <v>83.6</v>
      </c>
      <c r="L19" s="129">
        <f t="shared" si="2"/>
        <v>0.48458692971639949</v>
      </c>
    </row>
    <row r="20" spans="1:24">
      <c r="A20" s="89">
        <f t="shared" si="0"/>
        <v>1997</v>
      </c>
      <c r="B20" s="69">
        <v>35582</v>
      </c>
      <c r="C20" s="125"/>
      <c r="D20" s="125">
        <v>6.7</v>
      </c>
      <c r="E20" s="126">
        <v>42.3</v>
      </c>
      <c r="F20" s="125"/>
      <c r="G20" s="125">
        <v>97.2</v>
      </c>
      <c r="H20" s="125"/>
      <c r="I20" s="126">
        <v>26.4</v>
      </c>
      <c r="J20" s="125">
        <v>202.4</v>
      </c>
      <c r="K20" s="77">
        <f t="shared" si="1"/>
        <v>105.2</v>
      </c>
      <c r="L20" s="130">
        <f t="shared" si="2"/>
        <v>0.48023715415019763</v>
      </c>
    </row>
    <row r="21" spans="1:24">
      <c r="A21" s="89">
        <f t="shared" si="0"/>
        <v>1997</v>
      </c>
      <c r="B21" s="69">
        <v>35674</v>
      </c>
      <c r="C21" s="123"/>
      <c r="D21" s="123">
        <v>4.5999999999999996</v>
      </c>
      <c r="E21" s="124">
        <v>25.1</v>
      </c>
      <c r="F21" s="123"/>
      <c r="G21" s="123">
        <v>46.8</v>
      </c>
      <c r="H21" s="123"/>
      <c r="I21" s="124">
        <v>26</v>
      </c>
      <c r="J21" s="123">
        <v>124.2</v>
      </c>
      <c r="K21" s="67">
        <f t="shared" si="1"/>
        <v>77.400000000000006</v>
      </c>
      <c r="L21" s="129">
        <f t="shared" si="2"/>
        <v>0.3768115942028985</v>
      </c>
    </row>
    <row r="22" spans="1:24">
      <c r="A22" s="89">
        <f t="shared" si="0"/>
        <v>1997</v>
      </c>
      <c r="B22" s="69">
        <v>35765</v>
      </c>
      <c r="C22" s="125"/>
      <c r="D22" s="125">
        <v>8.3000000000000007</v>
      </c>
      <c r="E22" s="126">
        <v>29</v>
      </c>
      <c r="F22" s="125"/>
      <c r="G22" s="125">
        <v>106.9</v>
      </c>
      <c r="H22" s="125"/>
      <c r="I22" s="126">
        <v>50.9</v>
      </c>
      <c r="J22" s="125">
        <v>215.7</v>
      </c>
      <c r="K22" s="77">
        <f t="shared" si="1"/>
        <v>108.79999999999998</v>
      </c>
      <c r="L22" s="130">
        <f t="shared" si="2"/>
        <v>0.49559573481687536</v>
      </c>
    </row>
    <row r="23" spans="1:24">
      <c r="A23" s="89">
        <f t="shared" si="0"/>
        <v>1998</v>
      </c>
      <c r="B23" s="69">
        <v>35855</v>
      </c>
      <c r="C23" s="123">
        <v>0.1</v>
      </c>
      <c r="D23" s="123">
        <v>10.4</v>
      </c>
      <c r="E23" s="124">
        <v>11.9</v>
      </c>
      <c r="F23" s="123"/>
      <c r="G23" s="123">
        <v>165</v>
      </c>
      <c r="H23" s="123"/>
      <c r="I23" s="124"/>
      <c r="J23" s="123">
        <v>256</v>
      </c>
      <c r="K23" s="67">
        <f t="shared" si="1"/>
        <v>91</v>
      </c>
      <c r="L23" s="129">
        <f t="shared" si="2"/>
        <v>0.64453125</v>
      </c>
    </row>
    <row r="24" spans="1:24">
      <c r="A24" s="89">
        <f t="shared" si="0"/>
        <v>1998</v>
      </c>
      <c r="B24" s="69">
        <v>35947</v>
      </c>
      <c r="C24" s="125"/>
      <c r="D24" s="125">
        <v>9.9</v>
      </c>
      <c r="E24" s="126">
        <v>19.8</v>
      </c>
      <c r="F24" s="125"/>
      <c r="G24" s="125">
        <v>145.19999999999999</v>
      </c>
      <c r="H24" s="125"/>
      <c r="I24" s="126"/>
      <c r="J24" s="125">
        <v>322.3</v>
      </c>
      <c r="K24" s="77">
        <f t="shared" si="1"/>
        <v>177.10000000000002</v>
      </c>
      <c r="L24" s="130">
        <f t="shared" si="2"/>
        <v>0.4505119453924914</v>
      </c>
    </row>
    <row r="25" spans="1:24">
      <c r="A25" s="89">
        <f t="shared" si="0"/>
        <v>1998</v>
      </c>
      <c r="B25" s="69">
        <v>36039</v>
      </c>
      <c r="C25" s="123"/>
      <c r="D25" s="123"/>
      <c r="E25" s="124">
        <v>17.2</v>
      </c>
      <c r="F25" s="123"/>
      <c r="G25" s="123">
        <v>90.8</v>
      </c>
      <c r="H25" s="123"/>
      <c r="I25" s="124"/>
      <c r="J25" s="123">
        <v>185.7</v>
      </c>
      <c r="K25" s="67">
        <f t="shared" si="1"/>
        <v>94.899999999999991</v>
      </c>
      <c r="L25" s="129">
        <f t="shared" si="2"/>
        <v>0.48896068928379105</v>
      </c>
    </row>
    <row r="26" spans="1:24">
      <c r="A26" s="89">
        <f t="shared" si="0"/>
        <v>1998</v>
      </c>
      <c r="B26" s="69">
        <v>36130</v>
      </c>
      <c r="C26" s="125"/>
      <c r="D26" s="125"/>
      <c r="E26" s="126">
        <v>19.100000000000001</v>
      </c>
      <c r="F26" s="125"/>
      <c r="G26" s="125">
        <v>148.5</v>
      </c>
      <c r="H26" s="125"/>
      <c r="I26" s="126">
        <v>42.8</v>
      </c>
      <c r="J26" s="125">
        <v>248.8</v>
      </c>
      <c r="K26" s="77">
        <f t="shared" si="1"/>
        <v>100.30000000000001</v>
      </c>
      <c r="L26" s="130">
        <f t="shared" si="2"/>
        <v>0.59686495176848875</v>
      </c>
    </row>
    <row r="27" spans="1:24">
      <c r="A27" s="89">
        <f t="shared" si="0"/>
        <v>1999</v>
      </c>
      <c r="B27" s="69">
        <v>36220</v>
      </c>
      <c r="C27" s="123"/>
      <c r="D27" s="123">
        <v>15.6</v>
      </c>
      <c r="E27" s="124">
        <v>15.3</v>
      </c>
      <c r="F27" s="123">
        <v>11.1</v>
      </c>
      <c r="G27" s="123">
        <v>164.1</v>
      </c>
      <c r="H27" s="123"/>
      <c r="I27" s="124"/>
      <c r="J27" s="123">
        <v>226.4</v>
      </c>
      <c r="K27" s="67">
        <f t="shared" si="1"/>
        <v>62.300000000000011</v>
      </c>
      <c r="L27" s="129">
        <f t="shared" si="2"/>
        <v>0.72482332155477025</v>
      </c>
    </row>
    <row r="28" spans="1:24">
      <c r="A28" s="89">
        <f t="shared" si="0"/>
        <v>1999</v>
      </c>
      <c r="B28" s="69">
        <v>36312</v>
      </c>
      <c r="C28" s="125"/>
      <c r="D28" s="125">
        <v>7.2</v>
      </c>
      <c r="E28" s="126">
        <v>14.3</v>
      </c>
      <c r="F28" s="125"/>
      <c r="G28" s="125">
        <v>127.2</v>
      </c>
      <c r="H28" s="125"/>
      <c r="I28" s="126">
        <v>35.799999999999997</v>
      </c>
      <c r="J28" s="125">
        <v>190.8</v>
      </c>
      <c r="K28" s="77">
        <f t="shared" si="1"/>
        <v>63.600000000000009</v>
      </c>
      <c r="L28" s="130">
        <f t="shared" si="2"/>
        <v>0.66666666666666663</v>
      </c>
      <c r="O28" s="89"/>
    </row>
    <row r="29" spans="1:24">
      <c r="A29" s="89">
        <f t="shared" si="0"/>
        <v>1999</v>
      </c>
      <c r="B29" s="69">
        <v>36404</v>
      </c>
      <c r="C29" s="123"/>
      <c r="D29" s="123"/>
      <c r="E29" s="124">
        <v>11</v>
      </c>
      <c r="F29" s="123"/>
      <c r="G29" s="123">
        <v>112</v>
      </c>
      <c r="H29" s="123">
        <v>0.2</v>
      </c>
      <c r="I29" s="124">
        <v>51.6</v>
      </c>
      <c r="J29" s="123">
        <v>197.2</v>
      </c>
      <c r="K29" s="67">
        <f t="shared" si="1"/>
        <v>85.199999999999989</v>
      </c>
      <c r="L29" s="129">
        <f t="shared" si="2"/>
        <v>0.56795131845841784</v>
      </c>
    </row>
    <row r="30" spans="1:24">
      <c r="A30" s="89">
        <f t="shared" si="0"/>
        <v>1999</v>
      </c>
      <c r="B30" s="69">
        <v>36495</v>
      </c>
      <c r="C30" s="125">
        <v>0</v>
      </c>
      <c r="D30" s="125">
        <v>20.9</v>
      </c>
      <c r="E30" s="126">
        <v>23.2</v>
      </c>
      <c r="F30" s="125"/>
      <c r="G30" s="125">
        <v>96.9</v>
      </c>
      <c r="H30" s="125">
        <v>0.4</v>
      </c>
      <c r="I30" s="126">
        <v>30.7</v>
      </c>
      <c r="J30" s="125">
        <v>179.2</v>
      </c>
      <c r="K30" s="77">
        <f t="shared" si="1"/>
        <v>82.299999999999983</v>
      </c>
      <c r="L30" s="130">
        <f t="shared" si="2"/>
        <v>0.54073660714285721</v>
      </c>
    </row>
    <row r="31" spans="1:24">
      <c r="A31" s="89">
        <f t="shared" si="0"/>
        <v>2000</v>
      </c>
      <c r="B31" s="69">
        <v>36586</v>
      </c>
      <c r="C31" s="123"/>
      <c r="D31" s="123">
        <v>11.6</v>
      </c>
      <c r="E31" s="124"/>
      <c r="F31" s="123"/>
      <c r="G31" s="123">
        <v>121.2</v>
      </c>
      <c r="H31" s="123"/>
      <c r="I31" s="124">
        <v>13.4</v>
      </c>
      <c r="J31" s="123">
        <v>160</v>
      </c>
      <c r="K31" s="67">
        <f t="shared" si="1"/>
        <v>38.799999999999997</v>
      </c>
      <c r="L31" s="129">
        <f t="shared" si="2"/>
        <v>0.75750000000000006</v>
      </c>
    </row>
    <row r="32" spans="1:24">
      <c r="A32" s="89">
        <f t="shared" si="0"/>
        <v>2000</v>
      </c>
      <c r="B32" s="69">
        <v>36678</v>
      </c>
      <c r="C32" s="125"/>
      <c r="D32" s="125"/>
      <c r="E32" s="126"/>
      <c r="F32" s="125"/>
      <c r="G32" s="125">
        <v>113.9</v>
      </c>
      <c r="H32" s="125"/>
      <c r="I32" s="126">
        <v>15.3</v>
      </c>
      <c r="J32" s="125">
        <v>164.3</v>
      </c>
      <c r="K32" s="77">
        <f t="shared" si="1"/>
        <v>50.400000000000006</v>
      </c>
      <c r="L32" s="130">
        <f t="shared" si="2"/>
        <v>0.69324406573341446</v>
      </c>
    </row>
    <row r="33" spans="1:12">
      <c r="A33" s="89">
        <f t="shared" si="0"/>
        <v>2000</v>
      </c>
      <c r="B33" s="69">
        <v>36770</v>
      </c>
      <c r="C33" s="123"/>
      <c r="D33" s="123">
        <v>6.7</v>
      </c>
      <c r="E33" s="124">
        <v>22.3</v>
      </c>
      <c r="F33" s="123"/>
      <c r="G33" s="123">
        <v>148.80000000000001</v>
      </c>
      <c r="H33" s="123"/>
      <c r="I33" s="124">
        <v>32.299999999999997</v>
      </c>
      <c r="J33" s="123">
        <v>218.3</v>
      </c>
      <c r="K33" s="67">
        <f t="shared" si="1"/>
        <v>69.5</v>
      </c>
      <c r="L33" s="129">
        <f t="shared" si="2"/>
        <v>0.6816307833256986</v>
      </c>
    </row>
    <row r="34" spans="1:12">
      <c r="A34" s="89">
        <f t="shared" si="0"/>
        <v>2000</v>
      </c>
      <c r="B34" s="69">
        <v>36861</v>
      </c>
      <c r="C34" s="125"/>
      <c r="D34" s="125">
        <v>13.3</v>
      </c>
      <c r="E34" s="126">
        <v>27.1</v>
      </c>
      <c r="F34" s="125"/>
      <c r="G34" s="125">
        <v>166.3</v>
      </c>
      <c r="H34" s="125"/>
      <c r="I34" s="126">
        <v>20.5</v>
      </c>
      <c r="J34" s="125">
        <v>241.7</v>
      </c>
      <c r="K34" s="77">
        <f t="shared" si="1"/>
        <v>75.399999999999977</v>
      </c>
      <c r="L34" s="130">
        <f t="shared" si="2"/>
        <v>0.68804302854778654</v>
      </c>
    </row>
    <row r="35" spans="1:12">
      <c r="A35" s="89">
        <f t="shared" si="0"/>
        <v>2001</v>
      </c>
      <c r="B35" s="69">
        <v>36951</v>
      </c>
      <c r="C35" s="123"/>
      <c r="D35" s="123">
        <v>10.3</v>
      </c>
      <c r="E35" s="124">
        <v>19.2</v>
      </c>
      <c r="F35" s="123"/>
      <c r="G35" s="123">
        <v>216.4</v>
      </c>
      <c r="H35" s="123"/>
      <c r="I35" s="124"/>
      <c r="J35" s="123">
        <v>298.8</v>
      </c>
      <c r="K35" s="67">
        <f t="shared" si="1"/>
        <v>82.4</v>
      </c>
      <c r="L35" s="129">
        <f t="shared" si="2"/>
        <v>0.72423025435073629</v>
      </c>
    </row>
    <row r="36" spans="1:12">
      <c r="A36" s="89">
        <f t="shared" si="0"/>
        <v>2001</v>
      </c>
      <c r="B36" s="69">
        <v>37043</v>
      </c>
      <c r="C36" s="125">
        <v>1.1000000000000001</v>
      </c>
      <c r="D36" s="125">
        <v>44</v>
      </c>
      <c r="E36" s="126">
        <v>16.100000000000001</v>
      </c>
      <c r="F36" s="125">
        <v>25</v>
      </c>
      <c r="G36" s="125">
        <v>156</v>
      </c>
      <c r="H36" s="125"/>
      <c r="I36" s="126"/>
      <c r="J36" s="125">
        <v>266</v>
      </c>
      <c r="K36" s="77">
        <f t="shared" si="1"/>
        <v>110</v>
      </c>
      <c r="L36" s="130">
        <f t="shared" si="2"/>
        <v>0.5864661654135338</v>
      </c>
    </row>
    <row r="37" spans="1:12">
      <c r="A37" s="89">
        <f t="shared" si="0"/>
        <v>2001</v>
      </c>
      <c r="B37" s="69">
        <v>37135</v>
      </c>
      <c r="C37" s="123">
        <v>2.7</v>
      </c>
      <c r="D37" s="123"/>
      <c r="E37" s="124">
        <v>19.399999999999999</v>
      </c>
      <c r="F37" s="123">
        <v>12.1</v>
      </c>
      <c r="G37" s="123">
        <v>136.30000000000001</v>
      </c>
      <c r="H37" s="123"/>
      <c r="I37" s="124"/>
      <c r="J37" s="123">
        <v>231.7</v>
      </c>
      <c r="K37" s="67">
        <f t="shared" si="1"/>
        <v>95.399999999999977</v>
      </c>
      <c r="L37" s="129">
        <f t="shared" si="2"/>
        <v>0.58826068191627112</v>
      </c>
    </row>
    <row r="38" spans="1:12">
      <c r="A38" s="89">
        <f t="shared" si="0"/>
        <v>2001</v>
      </c>
      <c r="B38" s="69">
        <v>37226</v>
      </c>
      <c r="C38" s="125"/>
      <c r="D38" s="125"/>
      <c r="E38" s="126">
        <v>14</v>
      </c>
      <c r="F38" s="125"/>
      <c r="G38" s="125">
        <v>141.69999999999999</v>
      </c>
      <c r="H38" s="125"/>
      <c r="I38" s="126">
        <v>78.599999999999994</v>
      </c>
      <c r="J38" s="125">
        <v>267.39999999999998</v>
      </c>
      <c r="K38" s="77">
        <f t="shared" si="1"/>
        <v>125.69999999999999</v>
      </c>
      <c r="L38" s="130">
        <f t="shared" si="2"/>
        <v>0.52991772625280475</v>
      </c>
    </row>
    <row r="39" spans="1:12">
      <c r="A39" s="89">
        <f t="shared" si="0"/>
        <v>2002</v>
      </c>
      <c r="B39" s="69">
        <v>37316</v>
      </c>
      <c r="C39" s="123"/>
      <c r="D39" s="123">
        <v>21.7</v>
      </c>
      <c r="E39" s="124">
        <v>13.3</v>
      </c>
      <c r="F39" s="123"/>
      <c r="G39" s="123">
        <v>119.7</v>
      </c>
      <c r="H39" s="123">
        <v>0</v>
      </c>
      <c r="I39" s="124">
        <v>40.5</v>
      </c>
      <c r="J39" s="123">
        <v>203</v>
      </c>
      <c r="K39" s="67">
        <f t="shared" si="1"/>
        <v>83.3</v>
      </c>
      <c r="L39" s="129">
        <f t="shared" si="2"/>
        <v>0.58965517241379317</v>
      </c>
    </row>
    <row r="40" spans="1:12">
      <c r="A40" s="89">
        <f t="shared" si="0"/>
        <v>2002</v>
      </c>
      <c r="B40" s="69">
        <v>37408</v>
      </c>
      <c r="C40" s="125">
        <v>0.8</v>
      </c>
      <c r="D40" s="125">
        <v>13.8</v>
      </c>
      <c r="E40" s="126">
        <v>26.7</v>
      </c>
      <c r="F40" s="125">
        <v>9.6999999999999993</v>
      </c>
      <c r="G40" s="125">
        <v>82</v>
      </c>
      <c r="H40" s="125"/>
      <c r="I40" s="126"/>
      <c r="J40" s="125">
        <v>180.5</v>
      </c>
      <c r="K40" s="77">
        <f t="shared" si="1"/>
        <v>98.5</v>
      </c>
      <c r="L40" s="130">
        <f t="shared" si="2"/>
        <v>0.45429362880886426</v>
      </c>
    </row>
    <row r="41" spans="1:12">
      <c r="A41" s="89">
        <f t="shared" si="0"/>
        <v>2002</v>
      </c>
      <c r="B41" s="69">
        <v>37500</v>
      </c>
      <c r="C41" s="123"/>
      <c r="D41" s="123">
        <v>54</v>
      </c>
      <c r="E41" s="124">
        <v>27.2</v>
      </c>
      <c r="F41" s="123">
        <v>11.9</v>
      </c>
      <c r="G41" s="123">
        <v>85.3</v>
      </c>
      <c r="H41" s="123">
        <v>1.2</v>
      </c>
      <c r="I41" s="124"/>
      <c r="J41" s="123">
        <v>218</v>
      </c>
      <c r="K41" s="67">
        <f t="shared" si="1"/>
        <v>132.69999999999999</v>
      </c>
      <c r="L41" s="129">
        <f t="shared" si="2"/>
        <v>0.39128440366972478</v>
      </c>
    </row>
    <row r="42" spans="1:12">
      <c r="A42" s="89">
        <f t="shared" si="0"/>
        <v>2002</v>
      </c>
      <c r="B42" s="69">
        <v>37591</v>
      </c>
      <c r="C42" s="125">
        <v>4.5</v>
      </c>
      <c r="D42" s="125">
        <v>29</v>
      </c>
      <c r="E42" s="126">
        <v>38.6</v>
      </c>
      <c r="F42" s="125">
        <v>23.4</v>
      </c>
      <c r="G42" s="125">
        <v>170.2</v>
      </c>
      <c r="H42" s="125">
        <v>0.6</v>
      </c>
      <c r="I42" s="126">
        <v>4</v>
      </c>
      <c r="J42" s="125">
        <v>270.39999999999998</v>
      </c>
      <c r="K42" s="77">
        <f t="shared" si="1"/>
        <v>100.19999999999999</v>
      </c>
      <c r="L42" s="130">
        <f t="shared" si="2"/>
        <v>0.62943786982248517</v>
      </c>
    </row>
    <row r="43" spans="1:12">
      <c r="A43" s="89">
        <f t="shared" si="0"/>
        <v>2003</v>
      </c>
      <c r="B43" s="69">
        <v>37681</v>
      </c>
      <c r="C43" s="123">
        <v>1.8</v>
      </c>
      <c r="D43" s="123">
        <v>38.700000000000003</v>
      </c>
      <c r="E43" s="124">
        <v>11.3</v>
      </c>
      <c r="F43" s="123">
        <v>9.3000000000000007</v>
      </c>
      <c r="G43" s="123">
        <v>191.5</v>
      </c>
      <c r="H43" s="123">
        <v>0.4</v>
      </c>
      <c r="I43" s="124">
        <v>13.6</v>
      </c>
      <c r="J43" s="123">
        <v>266.5</v>
      </c>
      <c r="K43" s="67">
        <f t="shared" si="1"/>
        <v>75</v>
      </c>
      <c r="L43" s="129">
        <f t="shared" si="2"/>
        <v>0.7185741088180112</v>
      </c>
    </row>
    <row r="44" spans="1:12">
      <c r="A44" s="89">
        <f t="shared" si="0"/>
        <v>2003</v>
      </c>
      <c r="B44" s="69">
        <v>37773</v>
      </c>
      <c r="C44" s="125">
        <v>3.5</v>
      </c>
      <c r="D44" s="125">
        <v>15.8</v>
      </c>
      <c r="E44" s="126">
        <v>21</v>
      </c>
      <c r="F44" s="125">
        <v>41.9</v>
      </c>
      <c r="G44" s="125">
        <v>151.30000000000001</v>
      </c>
      <c r="H44" s="125">
        <v>1.3</v>
      </c>
      <c r="I44" s="126">
        <v>5.4</v>
      </c>
      <c r="J44" s="125">
        <v>240.1</v>
      </c>
      <c r="K44" s="77">
        <f t="shared" si="1"/>
        <v>88.799999999999983</v>
      </c>
      <c r="L44" s="130">
        <f t="shared" si="2"/>
        <v>0.63015410245730952</v>
      </c>
    </row>
    <row r="45" spans="1:12">
      <c r="A45" s="89">
        <f t="shared" si="0"/>
        <v>2003</v>
      </c>
      <c r="B45" s="69">
        <v>37865</v>
      </c>
      <c r="C45" s="123"/>
      <c r="D45" s="123">
        <v>7</v>
      </c>
      <c r="E45" s="124">
        <v>21.1</v>
      </c>
      <c r="F45" s="123">
        <v>11</v>
      </c>
      <c r="G45" s="123">
        <v>177.9</v>
      </c>
      <c r="H45" s="123"/>
      <c r="I45" s="124">
        <v>9.1</v>
      </c>
      <c r="J45" s="123">
        <v>230.7</v>
      </c>
      <c r="K45" s="67">
        <f t="shared" si="1"/>
        <v>52.799999999999983</v>
      </c>
      <c r="L45" s="129">
        <f t="shared" si="2"/>
        <v>0.77113133940182066</v>
      </c>
    </row>
    <row r="46" spans="1:12">
      <c r="A46" s="89">
        <f t="shared" si="0"/>
        <v>2003</v>
      </c>
      <c r="B46" s="69">
        <v>37956</v>
      </c>
      <c r="C46" s="125"/>
      <c r="D46" s="125">
        <v>30.1</v>
      </c>
      <c r="E46" s="126">
        <v>36.5</v>
      </c>
      <c r="F46" s="125">
        <v>15.4</v>
      </c>
      <c r="G46" s="125">
        <v>188.2</v>
      </c>
      <c r="H46" s="125"/>
      <c r="I46" s="126">
        <v>13.7</v>
      </c>
      <c r="J46" s="125">
        <v>288.10000000000002</v>
      </c>
      <c r="K46" s="77">
        <f t="shared" si="1"/>
        <v>99.900000000000034</v>
      </c>
      <c r="L46" s="130">
        <f t="shared" si="2"/>
        <v>0.6532454009024643</v>
      </c>
    </row>
    <row r="47" spans="1:12">
      <c r="A47" s="89">
        <f t="shared" si="0"/>
        <v>2004</v>
      </c>
      <c r="B47" s="69">
        <v>38047</v>
      </c>
      <c r="C47" s="123">
        <v>5.7</v>
      </c>
      <c r="D47" s="123">
        <v>15.6</v>
      </c>
      <c r="E47" s="124">
        <v>19.7</v>
      </c>
      <c r="F47" s="123">
        <v>14.1</v>
      </c>
      <c r="G47" s="123">
        <v>106.9</v>
      </c>
      <c r="H47" s="123">
        <v>0.8</v>
      </c>
      <c r="I47" s="124">
        <v>6.1</v>
      </c>
      <c r="J47" s="123">
        <v>168.8</v>
      </c>
      <c r="K47" s="67">
        <f t="shared" si="1"/>
        <v>61.900000000000006</v>
      </c>
      <c r="L47" s="129">
        <f t="shared" si="2"/>
        <v>0.63329383886255919</v>
      </c>
    </row>
    <row r="48" spans="1:12">
      <c r="A48" s="89">
        <f t="shared" si="0"/>
        <v>2004</v>
      </c>
      <c r="B48" s="69">
        <v>38139</v>
      </c>
      <c r="C48" s="125">
        <v>4.5</v>
      </c>
      <c r="D48" s="125">
        <v>14.2</v>
      </c>
      <c r="E48" s="126">
        <v>18.2</v>
      </c>
      <c r="F48" s="125">
        <v>12.8</v>
      </c>
      <c r="G48" s="125">
        <v>197.5</v>
      </c>
      <c r="H48" s="125">
        <v>4.2</v>
      </c>
      <c r="I48" s="126">
        <v>5</v>
      </c>
      <c r="J48" s="125">
        <v>256.39999999999998</v>
      </c>
      <c r="K48" s="77">
        <f t="shared" si="1"/>
        <v>58.899999999999977</v>
      </c>
      <c r="L48" s="130">
        <f t="shared" si="2"/>
        <v>0.7702808112324494</v>
      </c>
    </row>
    <row r="49" spans="1:12">
      <c r="A49" s="89">
        <f t="shared" si="0"/>
        <v>2004</v>
      </c>
      <c r="B49" s="69">
        <v>38231</v>
      </c>
      <c r="C49" s="123">
        <v>9.1</v>
      </c>
      <c r="D49" s="123">
        <v>12.9</v>
      </c>
      <c r="E49" s="124">
        <v>22</v>
      </c>
      <c r="F49" s="123">
        <v>23.7</v>
      </c>
      <c r="G49" s="123">
        <v>129.69999999999999</v>
      </c>
      <c r="H49" s="123">
        <v>4.5999999999999996</v>
      </c>
      <c r="I49" s="124">
        <v>8.5</v>
      </c>
      <c r="J49" s="123">
        <v>210.5</v>
      </c>
      <c r="K49" s="67">
        <f t="shared" si="1"/>
        <v>80.800000000000011</v>
      </c>
      <c r="L49" s="129">
        <f t="shared" si="2"/>
        <v>0.61615201900237526</v>
      </c>
    </row>
    <row r="50" spans="1:12">
      <c r="A50" s="89">
        <f t="shared" si="0"/>
        <v>2004</v>
      </c>
      <c r="B50" s="69">
        <v>38322</v>
      </c>
      <c r="C50" s="125"/>
      <c r="D50" s="125">
        <v>61.9</v>
      </c>
      <c r="E50" s="126">
        <v>30.3</v>
      </c>
      <c r="F50" s="125">
        <v>33.200000000000003</v>
      </c>
      <c r="G50" s="125">
        <v>113.1</v>
      </c>
      <c r="H50" s="125"/>
      <c r="I50" s="126">
        <v>15.8</v>
      </c>
      <c r="J50" s="125">
        <v>286.60000000000002</v>
      </c>
      <c r="K50" s="77">
        <f t="shared" si="1"/>
        <v>173.50000000000003</v>
      </c>
      <c r="L50" s="130">
        <f t="shared" si="2"/>
        <v>0.39462665736217722</v>
      </c>
    </row>
    <row r="51" spans="1:12">
      <c r="A51" s="89">
        <f t="shared" si="0"/>
        <v>2005</v>
      </c>
      <c r="B51" s="69">
        <v>38412</v>
      </c>
      <c r="C51" s="123"/>
      <c r="D51" s="123">
        <v>48.7</v>
      </c>
      <c r="E51" s="124">
        <v>23.9</v>
      </c>
      <c r="F51" s="123">
        <v>9.8000000000000007</v>
      </c>
      <c r="G51" s="123">
        <v>154.30000000000001</v>
      </c>
      <c r="H51" s="123"/>
      <c r="I51" s="124">
        <v>17.899999999999999</v>
      </c>
      <c r="J51" s="123">
        <v>269.2</v>
      </c>
      <c r="K51" s="67">
        <f t="shared" si="1"/>
        <v>114.89999999999998</v>
      </c>
      <c r="L51" s="129">
        <f t="shared" si="2"/>
        <v>0.57317979197622593</v>
      </c>
    </row>
    <row r="52" spans="1:12">
      <c r="A52" s="89">
        <f t="shared" si="0"/>
        <v>2005</v>
      </c>
      <c r="B52" s="69">
        <v>38504</v>
      </c>
      <c r="C52" s="125"/>
      <c r="D52" s="125">
        <v>39</v>
      </c>
      <c r="E52" s="126">
        <v>27.8</v>
      </c>
      <c r="F52" s="125">
        <v>14.1</v>
      </c>
      <c r="G52" s="125">
        <v>129.4</v>
      </c>
      <c r="H52" s="125"/>
      <c r="I52" s="126">
        <v>56.9</v>
      </c>
      <c r="J52" s="125">
        <v>278.5</v>
      </c>
      <c r="K52" s="77">
        <f t="shared" si="1"/>
        <v>149.1</v>
      </c>
      <c r="L52" s="130">
        <f t="shared" si="2"/>
        <v>0.46463195691202874</v>
      </c>
    </row>
    <row r="53" spans="1:12">
      <c r="A53" s="89">
        <f t="shared" si="0"/>
        <v>2005</v>
      </c>
      <c r="B53" s="69">
        <v>38596</v>
      </c>
      <c r="C53" s="123">
        <v>4</v>
      </c>
      <c r="D53" s="123">
        <v>22.7</v>
      </c>
      <c r="E53" s="124">
        <v>23.9</v>
      </c>
      <c r="F53" s="123">
        <v>29.6</v>
      </c>
      <c r="G53" s="123">
        <v>135.1</v>
      </c>
      <c r="H53" s="123">
        <v>2</v>
      </c>
      <c r="I53" s="124">
        <v>64.7</v>
      </c>
      <c r="J53" s="123">
        <v>282</v>
      </c>
      <c r="K53" s="67">
        <f t="shared" si="1"/>
        <v>146.9</v>
      </c>
      <c r="L53" s="129">
        <f t="shared" si="2"/>
        <v>0.47907801418439716</v>
      </c>
    </row>
    <row r="54" spans="1:12">
      <c r="A54" s="89">
        <f t="shared" si="0"/>
        <v>2005</v>
      </c>
      <c r="B54" s="69">
        <v>38687</v>
      </c>
      <c r="C54" s="125"/>
      <c r="D54" s="125">
        <v>29.1</v>
      </c>
      <c r="E54" s="126">
        <v>30.2</v>
      </c>
      <c r="F54" s="125">
        <v>40.299999999999997</v>
      </c>
      <c r="G54" s="125">
        <v>152.80000000000001</v>
      </c>
      <c r="H54" s="125"/>
      <c r="I54" s="126">
        <v>66.400000000000006</v>
      </c>
      <c r="J54" s="125">
        <v>326.5</v>
      </c>
      <c r="K54" s="77">
        <f t="shared" si="1"/>
        <v>173.7</v>
      </c>
      <c r="L54" s="130">
        <f t="shared" si="2"/>
        <v>0.46799387442572743</v>
      </c>
    </row>
    <row r="55" spans="1:12">
      <c r="A55" s="89">
        <f t="shared" si="0"/>
        <v>2006</v>
      </c>
      <c r="B55" s="69">
        <v>38777</v>
      </c>
      <c r="C55" s="123"/>
      <c r="D55" s="123">
        <v>8.9</v>
      </c>
      <c r="E55" s="124">
        <v>38.4</v>
      </c>
      <c r="F55" s="123">
        <v>29.4</v>
      </c>
      <c r="G55" s="123">
        <v>137</v>
      </c>
      <c r="H55" s="123"/>
      <c r="I55" s="124">
        <v>53.8</v>
      </c>
      <c r="J55" s="123">
        <v>273.60000000000002</v>
      </c>
      <c r="K55" s="67">
        <f t="shared" si="1"/>
        <v>136.60000000000002</v>
      </c>
      <c r="L55" s="129">
        <f t="shared" si="2"/>
        <v>0.50073099415204669</v>
      </c>
    </row>
    <row r="56" spans="1:12">
      <c r="A56" s="89">
        <f t="shared" si="0"/>
        <v>2006</v>
      </c>
      <c r="B56" s="69">
        <v>38869</v>
      </c>
      <c r="C56" s="125"/>
      <c r="D56" s="125">
        <v>9</v>
      </c>
      <c r="E56" s="126">
        <v>42.6</v>
      </c>
      <c r="F56" s="125">
        <v>33</v>
      </c>
      <c r="G56" s="125">
        <v>168.7</v>
      </c>
      <c r="H56" s="125"/>
      <c r="I56" s="126">
        <v>114.3</v>
      </c>
      <c r="J56" s="125">
        <v>379.9</v>
      </c>
      <c r="K56" s="77">
        <f t="shared" si="1"/>
        <v>211.2</v>
      </c>
      <c r="L56" s="130">
        <f t="shared" si="2"/>
        <v>0.44406422742827062</v>
      </c>
    </row>
    <row r="57" spans="1:12">
      <c r="A57" s="89">
        <f t="shared" si="0"/>
        <v>2006</v>
      </c>
      <c r="B57" s="69">
        <v>38961</v>
      </c>
      <c r="C57" s="123"/>
      <c r="D57" s="123"/>
      <c r="E57" s="124">
        <v>36.200000000000003</v>
      </c>
      <c r="F57" s="123">
        <v>41.1</v>
      </c>
      <c r="G57" s="123">
        <v>289.89999999999998</v>
      </c>
      <c r="H57" s="123">
        <v>2.4</v>
      </c>
      <c r="I57" s="124">
        <v>101.4</v>
      </c>
      <c r="J57" s="123">
        <v>488.6</v>
      </c>
      <c r="K57" s="67">
        <f t="shared" si="1"/>
        <v>198.70000000000005</v>
      </c>
      <c r="L57" s="129">
        <f t="shared" si="2"/>
        <v>0.59332787556283251</v>
      </c>
    </row>
    <row r="58" spans="1:12">
      <c r="A58" s="89">
        <f t="shared" si="0"/>
        <v>2006</v>
      </c>
      <c r="B58" s="69">
        <v>39052</v>
      </c>
      <c r="C58" s="125">
        <v>3.2</v>
      </c>
      <c r="D58" s="125">
        <v>11</v>
      </c>
      <c r="E58" s="126">
        <v>56.6</v>
      </c>
      <c r="F58" s="125">
        <v>43.4</v>
      </c>
      <c r="G58" s="125">
        <v>346.1</v>
      </c>
      <c r="H58" s="125">
        <v>9</v>
      </c>
      <c r="I58" s="126">
        <v>75.2</v>
      </c>
      <c r="J58" s="125">
        <v>544.5</v>
      </c>
      <c r="K58" s="77">
        <f t="shared" si="1"/>
        <v>198.39999999999998</v>
      </c>
      <c r="L58" s="130">
        <f t="shared" si="2"/>
        <v>0.63562901744719935</v>
      </c>
    </row>
    <row r="59" spans="1:12">
      <c r="A59" s="89">
        <f t="shared" si="0"/>
        <v>2007</v>
      </c>
      <c r="B59" s="69">
        <v>39142</v>
      </c>
      <c r="C59" s="123">
        <v>4.4000000000000004</v>
      </c>
      <c r="D59" s="123">
        <v>7</v>
      </c>
      <c r="E59" s="124">
        <v>49.8</v>
      </c>
      <c r="F59" s="123">
        <v>28.1</v>
      </c>
      <c r="G59" s="123">
        <v>319.5</v>
      </c>
      <c r="H59" s="123">
        <v>2.5</v>
      </c>
      <c r="I59" s="124">
        <v>49.1</v>
      </c>
      <c r="J59" s="123">
        <v>460.3</v>
      </c>
      <c r="K59" s="67">
        <f t="shared" si="1"/>
        <v>140.80000000000001</v>
      </c>
      <c r="L59" s="129">
        <f t="shared" si="2"/>
        <v>0.69411253530306316</v>
      </c>
    </row>
    <row r="60" spans="1:12">
      <c r="A60" s="89">
        <f t="shared" si="0"/>
        <v>2007</v>
      </c>
      <c r="B60" s="69">
        <v>39234</v>
      </c>
      <c r="C60" s="125">
        <v>5.5</v>
      </c>
      <c r="D60" s="125">
        <v>45.8</v>
      </c>
      <c r="E60" s="126">
        <v>49.4</v>
      </c>
      <c r="F60" s="125">
        <v>48.6</v>
      </c>
      <c r="G60" s="125">
        <v>525.4</v>
      </c>
      <c r="H60" s="125">
        <v>3.7</v>
      </c>
      <c r="I60" s="126">
        <v>53.8</v>
      </c>
      <c r="J60" s="125">
        <v>732.1</v>
      </c>
      <c r="K60" s="77">
        <f t="shared" si="1"/>
        <v>206.70000000000005</v>
      </c>
      <c r="L60" s="130">
        <f t="shared" si="2"/>
        <v>0.71766152165004771</v>
      </c>
    </row>
    <row r="61" spans="1:12">
      <c r="A61" s="89">
        <f t="shared" si="0"/>
        <v>2007</v>
      </c>
      <c r="B61" s="69">
        <v>39326</v>
      </c>
      <c r="C61" s="123">
        <v>4</v>
      </c>
      <c r="D61" s="123">
        <v>12.6</v>
      </c>
      <c r="E61" s="124">
        <v>43.9</v>
      </c>
      <c r="F61" s="123">
        <v>52.7</v>
      </c>
      <c r="G61" s="123">
        <v>546.5</v>
      </c>
      <c r="H61" s="123">
        <v>5</v>
      </c>
      <c r="I61" s="124">
        <v>33.5</v>
      </c>
      <c r="J61" s="123">
        <v>698.3</v>
      </c>
      <c r="K61" s="67">
        <f t="shared" si="1"/>
        <v>151.79999999999995</v>
      </c>
      <c r="L61" s="129">
        <f t="shared" si="2"/>
        <v>0.78261492195331528</v>
      </c>
    </row>
    <row r="62" spans="1:12">
      <c r="A62" s="89">
        <f t="shared" si="0"/>
        <v>2007</v>
      </c>
      <c r="B62" s="69">
        <v>39417</v>
      </c>
      <c r="C62" s="125">
        <v>8.4</v>
      </c>
      <c r="D62" s="125">
        <v>15.4</v>
      </c>
      <c r="E62" s="126">
        <v>43.7</v>
      </c>
      <c r="F62" s="125">
        <v>72.5</v>
      </c>
      <c r="G62" s="125">
        <v>512.70000000000005</v>
      </c>
      <c r="H62" s="125">
        <v>4</v>
      </c>
      <c r="I62" s="126">
        <v>113.3</v>
      </c>
      <c r="J62" s="125">
        <v>770</v>
      </c>
      <c r="K62" s="77">
        <f t="shared" si="1"/>
        <v>257.29999999999995</v>
      </c>
      <c r="L62" s="130">
        <f t="shared" si="2"/>
        <v>0.6658441558441559</v>
      </c>
    </row>
    <row r="63" spans="1:12">
      <c r="A63" s="89">
        <f t="shared" si="0"/>
        <v>2008</v>
      </c>
      <c r="B63" s="69">
        <v>39508</v>
      </c>
      <c r="C63" s="123">
        <v>9</v>
      </c>
      <c r="D63" s="123">
        <v>38.200000000000003</v>
      </c>
      <c r="E63" s="124">
        <v>22.7</v>
      </c>
      <c r="F63" s="123">
        <v>31.8</v>
      </c>
      <c r="G63" s="123">
        <v>498.7</v>
      </c>
      <c r="H63" s="123">
        <v>24.5</v>
      </c>
      <c r="I63" s="124">
        <v>84.4</v>
      </c>
      <c r="J63" s="123">
        <v>709.4</v>
      </c>
      <c r="K63" s="67">
        <f t="shared" si="1"/>
        <v>210.7</v>
      </c>
      <c r="L63" s="129">
        <f t="shared" si="2"/>
        <v>0.70298844093600221</v>
      </c>
    </row>
    <row r="64" spans="1:12">
      <c r="A64" s="89">
        <f t="shared" si="0"/>
        <v>2008</v>
      </c>
      <c r="B64" s="69">
        <v>39600</v>
      </c>
      <c r="C64" s="125">
        <v>8.6</v>
      </c>
      <c r="D64" s="125">
        <v>53.9</v>
      </c>
      <c r="E64" s="126">
        <v>55</v>
      </c>
      <c r="F64" s="125">
        <v>39.299999999999997</v>
      </c>
      <c r="G64" s="125">
        <v>616.9</v>
      </c>
      <c r="H64" s="125">
        <v>50.9</v>
      </c>
      <c r="I64" s="126">
        <v>32.6</v>
      </c>
      <c r="J64" s="125">
        <v>857.2</v>
      </c>
      <c r="K64" s="77">
        <f t="shared" si="1"/>
        <v>240.30000000000007</v>
      </c>
      <c r="L64" s="130">
        <f t="shared" si="2"/>
        <v>0.71966868875408296</v>
      </c>
    </row>
    <row r="65" spans="1:12">
      <c r="A65" s="89">
        <f t="shared" si="0"/>
        <v>2008</v>
      </c>
      <c r="B65" s="69">
        <v>39692</v>
      </c>
      <c r="C65" s="123"/>
      <c r="D65" s="123">
        <v>57.3</v>
      </c>
      <c r="E65" s="124">
        <v>63.7</v>
      </c>
      <c r="F65" s="123">
        <v>37.9</v>
      </c>
      <c r="G65" s="123">
        <v>539.5</v>
      </c>
      <c r="H65" s="123"/>
      <c r="I65" s="124">
        <v>69.5</v>
      </c>
      <c r="J65" s="123">
        <v>781.3</v>
      </c>
      <c r="K65" s="67">
        <f t="shared" si="1"/>
        <v>241.79999999999995</v>
      </c>
      <c r="L65" s="129">
        <f t="shared" si="2"/>
        <v>0.6905158069883528</v>
      </c>
    </row>
    <row r="66" spans="1:12">
      <c r="A66" s="89">
        <f t="shared" si="0"/>
        <v>2008</v>
      </c>
      <c r="B66" s="69">
        <v>39783</v>
      </c>
      <c r="C66" s="125">
        <v>9.3000000000000007</v>
      </c>
      <c r="D66" s="125">
        <v>33.200000000000003</v>
      </c>
      <c r="E66" s="126">
        <v>87.9</v>
      </c>
      <c r="F66" s="125">
        <v>22.2</v>
      </c>
      <c r="G66" s="125">
        <v>798.9</v>
      </c>
      <c r="H66" s="125">
        <v>32.700000000000003</v>
      </c>
      <c r="I66" s="126">
        <v>29.3</v>
      </c>
      <c r="J66" s="125">
        <v>1013.4</v>
      </c>
      <c r="K66" s="77">
        <f t="shared" si="1"/>
        <v>214.5</v>
      </c>
      <c r="L66" s="130">
        <f t="shared" si="2"/>
        <v>0.78833629366489044</v>
      </c>
    </row>
    <row r="67" spans="1:12">
      <c r="A67" s="89">
        <f t="shared" si="0"/>
        <v>2009</v>
      </c>
      <c r="B67" s="69">
        <v>39873</v>
      </c>
      <c r="C67" s="123">
        <v>4.4000000000000004</v>
      </c>
      <c r="D67" s="123">
        <v>43.7</v>
      </c>
      <c r="E67" s="124">
        <v>60.1</v>
      </c>
      <c r="F67" s="123">
        <v>17.899999999999999</v>
      </c>
      <c r="G67" s="123">
        <v>789.4</v>
      </c>
      <c r="H67" s="123">
        <v>9.1999999999999993</v>
      </c>
      <c r="I67" s="124">
        <v>73.900000000000006</v>
      </c>
      <c r="J67" s="123">
        <v>998.6</v>
      </c>
      <c r="K67" s="67">
        <f t="shared" si="1"/>
        <v>209.20000000000005</v>
      </c>
      <c r="L67" s="129">
        <f t="shared" si="2"/>
        <v>0.79050670939315038</v>
      </c>
    </row>
    <row r="68" spans="1:12">
      <c r="A68" s="89">
        <f t="shared" si="0"/>
        <v>2009</v>
      </c>
      <c r="B68" s="69">
        <v>39965</v>
      </c>
      <c r="C68" s="125">
        <v>5.5</v>
      </c>
      <c r="D68" s="125">
        <v>6.6</v>
      </c>
      <c r="E68" s="126">
        <v>76.5</v>
      </c>
      <c r="F68" s="125">
        <v>34.200000000000003</v>
      </c>
      <c r="G68" s="125">
        <v>817.4</v>
      </c>
      <c r="H68" s="125">
        <v>3.2</v>
      </c>
      <c r="I68" s="126">
        <v>74</v>
      </c>
      <c r="J68" s="125">
        <v>1017.4</v>
      </c>
      <c r="K68" s="77">
        <f t="shared" si="1"/>
        <v>200</v>
      </c>
      <c r="L68" s="130">
        <f t="shared" si="2"/>
        <v>0.80342048358561036</v>
      </c>
    </row>
    <row r="69" spans="1:12">
      <c r="A69" s="89">
        <f t="shared" si="0"/>
        <v>2009</v>
      </c>
      <c r="B69" s="69">
        <v>40057</v>
      </c>
      <c r="C69" s="123">
        <v>8.1999999999999993</v>
      </c>
      <c r="D69" s="123">
        <v>25.1</v>
      </c>
      <c r="E69" s="124">
        <v>95.7</v>
      </c>
      <c r="F69" s="123">
        <v>27.1</v>
      </c>
      <c r="G69" s="123">
        <v>603.9</v>
      </c>
      <c r="H69" s="123">
        <v>4.2</v>
      </c>
      <c r="I69" s="124">
        <v>33.4</v>
      </c>
      <c r="J69" s="123">
        <v>797.7</v>
      </c>
      <c r="K69" s="67">
        <f t="shared" si="1"/>
        <v>193.80000000000007</v>
      </c>
      <c r="L69" s="129">
        <f t="shared" si="2"/>
        <v>0.75705152312899582</v>
      </c>
    </row>
    <row r="70" spans="1:12">
      <c r="A70" s="89">
        <f t="shared" si="0"/>
        <v>2009</v>
      </c>
      <c r="B70" s="69">
        <v>40148</v>
      </c>
      <c r="C70" s="125">
        <v>21.3</v>
      </c>
      <c r="D70" s="125"/>
      <c r="E70" s="126">
        <v>144.6</v>
      </c>
      <c r="F70" s="125">
        <v>28.1</v>
      </c>
      <c r="G70" s="125">
        <v>541.70000000000005</v>
      </c>
      <c r="H70" s="125"/>
      <c r="I70" s="126">
        <v>49</v>
      </c>
      <c r="J70" s="125">
        <v>827</v>
      </c>
      <c r="K70" s="77">
        <f t="shared" si="1"/>
        <v>285.29999999999995</v>
      </c>
      <c r="L70" s="130">
        <f t="shared" si="2"/>
        <v>0.65501813784764218</v>
      </c>
    </row>
    <row r="71" spans="1:12">
      <c r="A71" s="89">
        <f t="shared" si="0"/>
        <v>2010</v>
      </c>
      <c r="B71" s="69">
        <v>40238</v>
      </c>
      <c r="C71" s="123">
        <v>39.5</v>
      </c>
      <c r="D71" s="123">
        <v>9.3000000000000007</v>
      </c>
      <c r="E71" s="124">
        <v>113.2</v>
      </c>
      <c r="F71" s="123">
        <v>13.7</v>
      </c>
      <c r="G71" s="123">
        <v>646.70000000000005</v>
      </c>
      <c r="H71" s="123">
        <v>3.7</v>
      </c>
      <c r="I71" s="124">
        <v>37.4</v>
      </c>
      <c r="J71" s="123">
        <v>863.5</v>
      </c>
      <c r="K71" s="67">
        <f t="shared" si="1"/>
        <v>216.79999999999995</v>
      </c>
      <c r="L71" s="129">
        <f t="shared" si="2"/>
        <v>0.7489287782281413</v>
      </c>
    </row>
    <row r="72" spans="1:12">
      <c r="A72" s="89">
        <f t="shared" si="0"/>
        <v>2010</v>
      </c>
      <c r="B72" s="69">
        <v>40330</v>
      </c>
      <c r="C72" s="125">
        <v>39.9</v>
      </c>
      <c r="D72" s="125"/>
      <c r="E72" s="126">
        <v>127</v>
      </c>
      <c r="F72" s="125"/>
      <c r="G72" s="125">
        <v>692.3</v>
      </c>
      <c r="H72" s="125">
        <v>6.2</v>
      </c>
      <c r="I72" s="126">
        <v>32.5</v>
      </c>
      <c r="J72" s="125">
        <v>1005.9</v>
      </c>
      <c r="K72" s="77">
        <f t="shared" si="1"/>
        <v>313.60000000000002</v>
      </c>
      <c r="L72" s="130">
        <f t="shared" si="2"/>
        <v>0.68823938761308279</v>
      </c>
    </row>
    <row r="73" spans="1:12">
      <c r="A73" s="89">
        <f t="shared" ref="A73:A136" si="11">YEAR(B73)</f>
        <v>2010</v>
      </c>
      <c r="B73" s="69">
        <v>40422</v>
      </c>
      <c r="C73" s="123">
        <v>20.9</v>
      </c>
      <c r="D73" s="123"/>
      <c r="E73" s="124">
        <v>145.1</v>
      </c>
      <c r="F73" s="123"/>
      <c r="G73" s="123">
        <v>597.1</v>
      </c>
      <c r="H73" s="123"/>
      <c r="I73" s="124">
        <v>25.7</v>
      </c>
      <c r="J73" s="123">
        <v>850.4</v>
      </c>
      <c r="K73" s="67">
        <f t="shared" ref="K73:K98" si="12">J73-G73</f>
        <v>253.29999999999995</v>
      </c>
      <c r="L73" s="129">
        <f t="shared" ref="L73:L98" si="13">G73/J73</f>
        <v>0.70214016933207901</v>
      </c>
    </row>
    <row r="74" spans="1:12">
      <c r="A74" s="89">
        <f t="shared" si="11"/>
        <v>2010</v>
      </c>
      <c r="B74" s="69">
        <v>40513</v>
      </c>
      <c r="C74" s="125">
        <v>54</v>
      </c>
      <c r="D74" s="125"/>
      <c r="E74" s="126">
        <v>125.3</v>
      </c>
      <c r="F74" s="125">
        <v>15.1</v>
      </c>
      <c r="G74" s="125">
        <v>559.20000000000005</v>
      </c>
      <c r="H74" s="125"/>
      <c r="I74" s="126">
        <v>22.5</v>
      </c>
      <c r="J74" s="125">
        <v>849.6</v>
      </c>
      <c r="K74" s="77">
        <f t="shared" si="12"/>
        <v>290.39999999999998</v>
      </c>
      <c r="L74" s="130">
        <f t="shared" si="13"/>
        <v>0.65819209039548021</v>
      </c>
    </row>
    <row r="75" spans="1:12">
      <c r="A75" s="89">
        <f t="shared" si="11"/>
        <v>2011</v>
      </c>
      <c r="B75" s="69">
        <v>40603</v>
      </c>
      <c r="C75" s="123">
        <v>23.8</v>
      </c>
      <c r="D75" s="123"/>
      <c r="E75" s="124">
        <v>88.1</v>
      </c>
      <c r="F75" s="123">
        <v>28.3</v>
      </c>
      <c r="G75" s="123">
        <v>607</v>
      </c>
      <c r="H75" s="123"/>
      <c r="I75" s="124">
        <v>6</v>
      </c>
      <c r="J75" s="123">
        <v>766.1</v>
      </c>
      <c r="K75" s="67">
        <f t="shared" si="12"/>
        <v>159.10000000000002</v>
      </c>
      <c r="L75" s="129">
        <f t="shared" si="13"/>
        <v>0.79232476178044642</v>
      </c>
    </row>
    <row r="76" spans="1:12">
      <c r="A76" s="89">
        <f t="shared" si="11"/>
        <v>2011</v>
      </c>
      <c r="B76" s="69">
        <v>40695</v>
      </c>
      <c r="C76" s="125">
        <v>28.4</v>
      </c>
      <c r="D76" s="125"/>
      <c r="E76" s="126">
        <v>104.6</v>
      </c>
      <c r="F76" s="125">
        <v>38</v>
      </c>
      <c r="G76" s="125">
        <v>639</v>
      </c>
      <c r="H76" s="125"/>
      <c r="I76" s="126">
        <v>33.700000000000003</v>
      </c>
      <c r="J76" s="125">
        <v>849.3</v>
      </c>
      <c r="K76" s="77">
        <f t="shared" si="12"/>
        <v>210.29999999999995</v>
      </c>
      <c r="L76" s="130">
        <f t="shared" si="13"/>
        <v>0.75238431649593784</v>
      </c>
    </row>
    <row r="77" spans="1:12">
      <c r="A77" s="89">
        <f t="shared" si="11"/>
        <v>2011</v>
      </c>
      <c r="B77" s="69">
        <v>40787</v>
      </c>
      <c r="C77" s="123"/>
      <c r="D77" s="123">
        <v>0.7</v>
      </c>
      <c r="E77" s="124">
        <v>141.80000000000001</v>
      </c>
      <c r="F77" s="123">
        <v>35.799999999999997</v>
      </c>
      <c r="G77" s="123">
        <v>487.9</v>
      </c>
      <c r="H77" s="123"/>
      <c r="I77" s="124"/>
      <c r="J77" s="123">
        <v>780.2</v>
      </c>
      <c r="K77" s="67">
        <f t="shared" si="12"/>
        <v>292.30000000000007</v>
      </c>
      <c r="L77" s="129">
        <f t="shared" si="13"/>
        <v>0.62535247372468594</v>
      </c>
    </row>
    <row r="78" spans="1:12">
      <c r="A78" s="89">
        <f t="shared" si="11"/>
        <v>2011</v>
      </c>
      <c r="B78" s="69">
        <v>40878</v>
      </c>
      <c r="C78" s="125"/>
      <c r="D78" s="125"/>
      <c r="E78" s="126">
        <v>140.5</v>
      </c>
      <c r="F78" s="125">
        <v>39.1</v>
      </c>
      <c r="G78" s="125">
        <v>611.9</v>
      </c>
      <c r="H78" s="125"/>
      <c r="I78" s="126">
        <v>53.3</v>
      </c>
      <c r="J78" s="125">
        <v>897</v>
      </c>
      <c r="K78" s="77">
        <f t="shared" si="12"/>
        <v>285.10000000000002</v>
      </c>
      <c r="L78" s="130">
        <f t="shared" si="13"/>
        <v>0.68216276477146043</v>
      </c>
    </row>
    <row r="79" spans="1:12">
      <c r="A79" s="89">
        <f t="shared" si="11"/>
        <v>2012</v>
      </c>
      <c r="B79" s="69">
        <v>40969</v>
      </c>
      <c r="C79" s="123">
        <v>23.1</v>
      </c>
      <c r="D79" s="123"/>
      <c r="E79" s="124">
        <v>85.4</v>
      </c>
      <c r="F79" s="123">
        <v>40.1</v>
      </c>
      <c r="G79" s="123">
        <v>393.2</v>
      </c>
      <c r="H79" s="123"/>
      <c r="I79" s="124">
        <v>47.9</v>
      </c>
      <c r="J79" s="123">
        <v>596</v>
      </c>
      <c r="K79" s="67">
        <f t="shared" si="12"/>
        <v>202.8</v>
      </c>
      <c r="L79" s="129">
        <f t="shared" si="13"/>
        <v>0.65973154362416109</v>
      </c>
    </row>
    <row r="80" spans="1:12">
      <c r="A80" s="89">
        <f t="shared" si="11"/>
        <v>2012</v>
      </c>
      <c r="B80" s="69">
        <v>41061</v>
      </c>
      <c r="C80" s="125"/>
      <c r="D80" s="125"/>
      <c r="E80" s="126">
        <v>100</v>
      </c>
      <c r="F80" s="125">
        <v>59.3</v>
      </c>
      <c r="G80" s="125">
        <v>624.20000000000005</v>
      </c>
      <c r="H80" s="125"/>
      <c r="I80" s="126">
        <v>70.599999999999994</v>
      </c>
      <c r="J80" s="125">
        <v>923.8</v>
      </c>
      <c r="K80" s="77">
        <f t="shared" si="12"/>
        <v>299.59999999999991</v>
      </c>
      <c r="L80" s="130">
        <f t="shared" si="13"/>
        <v>0.67568737822039415</v>
      </c>
    </row>
    <row r="81" spans="1:12">
      <c r="A81" s="89">
        <f t="shared" si="11"/>
        <v>2012</v>
      </c>
      <c r="B81" s="69">
        <v>41153</v>
      </c>
      <c r="C81" s="123"/>
      <c r="D81" s="123"/>
      <c r="E81" s="124">
        <v>112.3</v>
      </c>
      <c r="F81" s="123">
        <v>69.3</v>
      </c>
      <c r="G81" s="123">
        <v>753.9</v>
      </c>
      <c r="H81" s="123"/>
      <c r="I81" s="124">
        <v>114.1</v>
      </c>
      <c r="J81" s="123">
        <v>1084</v>
      </c>
      <c r="K81" s="67">
        <f t="shared" si="12"/>
        <v>330.1</v>
      </c>
      <c r="L81" s="129">
        <f t="shared" si="13"/>
        <v>0.6954797047970479</v>
      </c>
    </row>
    <row r="82" spans="1:12">
      <c r="A82" s="89">
        <f t="shared" si="11"/>
        <v>2012</v>
      </c>
      <c r="B82" s="69">
        <v>41244</v>
      </c>
      <c r="C82" s="125"/>
      <c r="D82" s="125"/>
      <c r="E82" s="126">
        <v>159.5</v>
      </c>
      <c r="F82" s="125">
        <v>122.3</v>
      </c>
      <c r="G82" s="125">
        <v>985.3</v>
      </c>
      <c r="H82" s="125"/>
      <c r="I82" s="126">
        <v>86</v>
      </c>
      <c r="J82" s="125">
        <v>1398.6</v>
      </c>
      <c r="K82" s="77">
        <f t="shared" si="12"/>
        <v>413.29999999999995</v>
      </c>
      <c r="L82" s="130">
        <f t="shared" si="13"/>
        <v>0.7044902044902045</v>
      </c>
    </row>
    <row r="83" spans="1:12">
      <c r="A83" s="89">
        <f t="shared" si="11"/>
        <v>2013</v>
      </c>
      <c r="B83" s="69">
        <v>41334</v>
      </c>
      <c r="C83" s="123">
        <v>31.4</v>
      </c>
      <c r="D83" s="123"/>
      <c r="E83" s="124">
        <v>99.6</v>
      </c>
      <c r="F83" s="123">
        <v>119.4</v>
      </c>
      <c r="G83" s="123">
        <v>713.4</v>
      </c>
      <c r="H83" s="123"/>
      <c r="I83" s="124">
        <v>41.3</v>
      </c>
      <c r="J83" s="123">
        <v>1009.7</v>
      </c>
      <c r="K83" s="67">
        <f t="shared" si="12"/>
        <v>296.30000000000007</v>
      </c>
      <c r="L83" s="129">
        <f t="shared" si="13"/>
        <v>0.70654649896008714</v>
      </c>
    </row>
    <row r="84" spans="1:12">
      <c r="A84" s="89">
        <f t="shared" si="11"/>
        <v>2013</v>
      </c>
      <c r="B84" s="69">
        <v>41426</v>
      </c>
      <c r="C84" s="125"/>
      <c r="D84" s="125"/>
      <c r="E84" s="126">
        <v>283.8</v>
      </c>
      <c r="F84" s="125">
        <v>75.400000000000006</v>
      </c>
      <c r="G84" s="125">
        <v>841.2</v>
      </c>
      <c r="H84" s="125"/>
      <c r="I84" s="126">
        <v>35.700000000000003</v>
      </c>
      <c r="J84" s="125">
        <v>1301.0999999999999</v>
      </c>
      <c r="K84" s="77">
        <f t="shared" si="12"/>
        <v>459.89999999999986</v>
      </c>
      <c r="L84" s="130">
        <f t="shared" si="13"/>
        <v>0.64652985934978102</v>
      </c>
    </row>
    <row r="85" spans="1:12">
      <c r="A85" s="89">
        <f t="shared" si="11"/>
        <v>2013</v>
      </c>
      <c r="B85" s="69">
        <v>41518</v>
      </c>
      <c r="C85" s="123"/>
      <c r="D85" s="123"/>
      <c r="E85" s="124">
        <v>169.6</v>
      </c>
      <c r="F85" s="123">
        <v>91.4</v>
      </c>
      <c r="G85" s="123">
        <v>752.2</v>
      </c>
      <c r="H85" s="123"/>
      <c r="I85" s="124">
        <v>75.5</v>
      </c>
      <c r="J85" s="123">
        <v>1115.3</v>
      </c>
      <c r="K85" s="67">
        <f t="shared" si="12"/>
        <v>363.09999999999991</v>
      </c>
      <c r="L85" s="129">
        <f t="shared" si="13"/>
        <v>0.67443737111091195</v>
      </c>
    </row>
    <row r="86" spans="1:12">
      <c r="A86" s="89">
        <f t="shared" si="11"/>
        <v>2013</v>
      </c>
      <c r="B86" s="69">
        <v>41609</v>
      </c>
      <c r="C86" s="125"/>
      <c r="D86" s="125"/>
      <c r="E86" s="126">
        <v>150.1</v>
      </c>
      <c r="F86" s="125">
        <v>81.5</v>
      </c>
      <c r="G86" s="125">
        <v>677.4</v>
      </c>
      <c r="H86" s="125"/>
      <c r="I86" s="126">
        <v>130.6</v>
      </c>
      <c r="J86" s="125">
        <v>1103.3</v>
      </c>
      <c r="K86" s="77">
        <f t="shared" si="12"/>
        <v>425.9</v>
      </c>
      <c r="L86" s="130">
        <f t="shared" si="13"/>
        <v>0.61397625305900483</v>
      </c>
    </row>
    <row r="87" spans="1:12">
      <c r="A87" s="89">
        <f t="shared" si="11"/>
        <v>2014</v>
      </c>
      <c r="B87" s="69">
        <v>41699</v>
      </c>
      <c r="C87" s="123"/>
      <c r="D87" s="123"/>
      <c r="E87" s="124">
        <v>126.3</v>
      </c>
      <c r="F87" s="123">
        <v>92.7</v>
      </c>
      <c r="G87" s="123">
        <v>737.1</v>
      </c>
      <c r="H87" s="123"/>
      <c r="I87" s="124">
        <v>72.900000000000006</v>
      </c>
      <c r="J87" s="123">
        <v>1072.0999999999999</v>
      </c>
      <c r="K87" s="67">
        <f t="shared" si="12"/>
        <v>334.99999999999989</v>
      </c>
      <c r="L87" s="129">
        <f t="shared" si="13"/>
        <v>0.68752914840033585</v>
      </c>
    </row>
    <row r="88" spans="1:12">
      <c r="A88" s="89">
        <f t="shared" si="11"/>
        <v>2014</v>
      </c>
      <c r="B88" s="69">
        <v>41791</v>
      </c>
      <c r="C88" s="125"/>
      <c r="D88" s="125"/>
      <c r="E88" s="126">
        <v>166.6</v>
      </c>
      <c r="F88" s="125">
        <v>265.7</v>
      </c>
      <c r="G88" s="125">
        <v>823.9</v>
      </c>
      <c r="H88" s="125"/>
      <c r="I88" s="126">
        <v>231</v>
      </c>
      <c r="J88" s="125">
        <v>1533.8</v>
      </c>
      <c r="K88" s="77">
        <f t="shared" si="12"/>
        <v>709.9</v>
      </c>
      <c r="L88" s="130">
        <f t="shared" si="13"/>
        <v>0.53716260268613902</v>
      </c>
    </row>
    <row r="89" spans="1:12">
      <c r="A89" s="89">
        <f t="shared" si="11"/>
        <v>2014</v>
      </c>
      <c r="B89" s="69">
        <v>41883</v>
      </c>
      <c r="C89" s="123"/>
      <c r="D89" s="123"/>
      <c r="E89" s="124">
        <v>153.5</v>
      </c>
      <c r="F89" s="123">
        <v>60.3</v>
      </c>
      <c r="G89" s="123">
        <v>591.5</v>
      </c>
      <c r="H89" s="123"/>
      <c r="I89" s="124">
        <v>127.2</v>
      </c>
      <c r="J89" s="123">
        <v>979.9</v>
      </c>
      <c r="K89" s="67">
        <f t="shared" si="12"/>
        <v>388.4</v>
      </c>
      <c r="L89" s="129">
        <f t="shared" si="13"/>
        <v>0.60363302377793648</v>
      </c>
    </row>
    <row r="90" spans="1:12">
      <c r="A90" s="89">
        <f t="shared" si="11"/>
        <v>2014</v>
      </c>
      <c r="B90" s="69">
        <v>41974</v>
      </c>
      <c r="C90" s="125"/>
      <c r="D90" s="125"/>
      <c r="E90" s="126">
        <v>290.2</v>
      </c>
      <c r="F90" s="125">
        <v>92</v>
      </c>
      <c r="G90" s="125">
        <v>605.4</v>
      </c>
      <c r="H90" s="125"/>
      <c r="I90" s="126">
        <v>123.1</v>
      </c>
      <c r="J90" s="125">
        <v>1153.0999999999999</v>
      </c>
      <c r="K90" s="77">
        <f t="shared" si="12"/>
        <v>547.69999999999993</v>
      </c>
      <c r="L90" s="130">
        <f t="shared" si="13"/>
        <v>0.52501951261815971</v>
      </c>
    </row>
    <row r="91" spans="1:12">
      <c r="A91" s="89">
        <f t="shared" si="11"/>
        <v>2015</v>
      </c>
      <c r="B91" s="69">
        <v>42064</v>
      </c>
      <c r="C91" s="123"/>
      <c r="D91" s="123">
        <v>4.2</v>
      </c>
      <c r="E91" s="124">
        <v>154.4</v>
      </c>
      <c r="F91" s="123">
        <v>177.1</v>
      </c>
      <c r="G91" s="123">
        <v>439.3</v>
      </c>
      <c r="H91" s="123"/>
      <c r="I91" s="124"/>
      <c r="J91" s="123">
        <v>960.6</v>
      </c>
      <c r="K91" s="67">
        <f t="shared" si="12"/>
        <v>521.29999999999995</v>
      </c>
      <c r="L91" s="129">
        <f t="shared" si="13"/>
        <v>0.45731834270247762</v>
      </c>
    </row>
    <row r="92" spans="1:12">
      <c r="A92" s="89">
        <f t="shared" si="11"/>
        <v>2015</v>
      </c>
      <c r="B92" s="69">
        <v>42156</v>
      </c>
      <c r="C92" s="125">
        <v>11.1</v>
      </c>
      <c r="D92" s="125"/>
      <c r="E92" s="126">
        <v>153.5</v>
      </c>
      <c r="F92" s="125">
        <v>70.7</v>
      </c>
      <c r="G92" s="125">
        <v>432.7</v>
      </c>
      <c r="H92" s="125"/>
      <c r="I92" s="126"/>
      <c r="J92" s="125">
        <v>697.8</v>
      </c>
      <c r="K92" s="77">
        <f t="shared" si="12"/>
        <v>265.09999999999997</v>
      </c>
      <c r="L92" s="130">
        <f t="shared" si="13"/>
        <v>0.62009171682430497</v>
      </c>
    </row>
    <row r="93" spans="1:12">
      <c r="A93" s="89">
        <f t="shared" si="11"/>
        <v>2015</v>
      </c>
      <c r="B93" s="69">
        <v>42248</v>
      </c>
      <c r="C93" s="123"/>
      <c r="D93" s="123"/>
      <c r="E93" s="124">
        <v>90.4</v>
      </c>
      <c r="F93" s="123">
        <v>41</v>
      </c>
      <c r="G93" s="123">
        <v>407.5</v>
      </c>
      <c r="H93" s="123"/>
      <c r="I93" s="124">
        <v>37.200000000000003</v>
      </c>
      <c r="J93" s="123">
        <v>582.9</v>
      </c>
      <c r="K93" s="67">
        <f t="shared" si="12"/>
        <v>175.39999999999998</v>
      </c>
      <c r="L93" s="129">
        <f t="shared" si="13"/>
        <v>0.6990907531308973</v>
      </c>
    </row>
    <row r="94" spans="1:12">
      <c r="A94" s="89">
        <f t="shared" si="11"/>
        <v>2015</v>
      </c>
      <c r="B94" s="69">
        <v>42339</v>
      </c>
      <c r="C94" s="125">
        <v>15.5</v>
      </c>
      <c r="D94" s="125"/>
      <c r="E94" s="126">
        <v>62</v>
      </c>
      <c r="F94" s="125">
        <v>41.4</v>
      </c>
      <c r="G94" s="125">
        <v>337.6</v>
      </c>
      <c r="H94" s="125"/>
      <c r="I94" s="126">
        <v>22.5</v>
      </c>
      <c r="J94" s="125">
        <v>482</v>
      </c>
      <c r="K94" s="77">
        <f t="shared" si="12"/>
        <v>144.39999999999998</v>
      </c>
      <c r="L94" s="130">
        <f t="shared" si="13"/>
        <v>0.70041493775933616</v>
      </c>
    </row>
    <row r="95" spans="1:12">
      <c r="A95" s="89">
        <f t="shared" si="11"/>
        <v>2016</v>
      </c>
      <c r="B95" s="69">
        <v>42430</v>
      </c>
      <c r="C95" s="123">
        <v>6.3</v>
      </c>
      <c r="D95" s="123"/>
      <c r="E95" s="124">
        <v>28.7</v>
      </c>
      <c r="F95" s="123">
        <v>28.5</v>
      </c>
      <c r="G95" s="123">
        <v>340.1</v>
      </c>
      <c r="H95" s="123"/>
      <c r="I95" s="124">
        <v>18.3</v>
      </c>
      <c r="J95" s="123">
        <v>427.9</v>
      </c>
      <c r="K95" s="67">
        <f t="shared" si="12"/>
        <v>87.799999999999955</v>
      </c>
      <c r="L95" s="129">
        <f t="shared" si="13"/>
        <v>0.79481187193269465</v>
      </c>
    </row>
    <row r="96" spans="1:12">
      <c r="A96" s="89">
        <f t="shared" si="11"/>
        <v>2016</v>
      </c>
      <c r="B96" s="69">
        <v>42522</v>
      </c>
      <c r="C96" s="125"/>
      <c r="D96" s="125"/>
      <c r="E96" s="126">
        <v>23.5</v>
      </c>
      <c r="F96" s="125">
        <v>23.6</v>
      </c>
      <c r="G96" s="125">
        <v>212.2</v>
      </c>
      <c r="H96" s="125"/>
      <c r="I96" s="126">
        <v>19.899999999999999</v>
      </c>
      <c r="J96" s="125">
        <v>283.39999999999998</v>
      </c>
      <c r="K96" s="77">
        <f t="shared" si="12"/>
        <v>71.199999999999989</v>
      </c>
      <c r="L96" s="130">
        <f t="shared" si="13"/>
        <v>0.74876499647141848</v>
      </c>
    </row>
    <row r="97" spans="1:12">
      <c r="A97" s="89">
        <f t="shared" si="11"/>
        <v>2016</v>
      </c>
      <c r="B97" s="69">
        <v>42614</v>
      </c>
      <c r="C97" s="528"/>
      <c r="D97" s="528"/>
      <c r="E97" s="529">
        <v>23.2</v>
      </c>
      <c r="F97" s="528">
        <v>34.799999999999997</v>
      </c>
      <c r="G97" s="528">
        <v>229.8</v>
      </c>
      <c r="H97" s="528"/>
      <c r="I97" s="529">
        <v>62.5</v>
      </c>
      <c r="J97" s="528">
        <v>355.2</v>
      </c>
      <c r="K97" s="530">
        <f t="shared" si="12"/>
        <v>125.39999999999998</v>
      </c>
      <c r="L97" s="531">
        <f t="shared" si="13"/>
        <v>0.64695945945945954</v>
      </c>
    </row>
    <row r="98" spans="1:12" ht="15.75" thickBot="1">
      <c r="A98" s="89">
        <f t="shared" si="11"/>
        <v>2016</v>
      </c>
      <c r="B98" s="71">
        <v>42705</v>
      </c>
      <c r="C98" s="127"/>
      <c r="D98" s="127">
        <v>5.2</v>
      </c>
      <c r="E98" s="128">
        <v>35.700000000000003</v>
      </c>
      <c r="F98" s="127">
        <v>33.9</v>
      </c>
      <c r="G98" s="127">
        <v>213.9</v>
      </c>
      <c r="H98" s="127"/>
      <c r="I98" s="128">
        <v>38.5</v>
      </c>
      <c r="J98" s="127">
        <v>335.2</v>
      </c>
      <c r="K98" s="93">
        <f t="shared" si="12"/>
        <v>121.29999999999998</v>
      </c>
      <c r="L98" s="131">
        <f t="shared" si="13"/>
        <v>0.63812649164677804</v>
      </c>
    </row>
    <row r="99" spans="1:12">
      <c r="A99" s="89">
        <f t="shared" si="11"/>
        <v>1900</v>
      </c>
      <c r="B99" s="469"/>
      <c r="C99" s="469"/>
      <c r="D99" s="469"/>
      <c r="E99" s="469"/>
      <c r="F99" s="469"/>
      <c r="G99" s="470"/>
      <c r="H99" s="470"/>
      <c r="I99" s="470"/>
      <c r="J99" s="470"/>
      <c r="K99" s="470"/>
      <c r="L99" s="469"/>
    </row>
    <row r="100" spans="1:12">
      <c r="A100" s="89">
        <f t="shared" si="11"/>
        <v>1900</v>
      </c>
    </row>
    <row r="101" spans="1:12">
      <c r="A101" s="89">
        <f t="shared" si="11"/>
        <v>1900</v>
      </c>
    </row>
    <row r="102" spans="1:12">
      <c r="A102" s="89">
        <f t="shared" si="11"/>
        <v>1900</v>
      </c>
    </row>
    <row r="103" spans="1:12">
      <c r="A103" s="89">
        <f t="shared" si="11"/>
        <v>1900</v>
      </c>
    </row>
    <row r="104" spans="1:12">
      <c r="A104" s="89">
        <f t="shared" si="11"/>
        <v>1900</v>
      </c>
    </row>
    <row r="105" spans="1:12">
      <c r="A105" s="89">
        <f t="shared" si="11"/>
        <v>1900</v>
      </c>
      <c r="G105" s="428"/>
      <c r="H105" s="428"/>
      <c r="I105" s="428"/>
      <c r="J105" s="428"/>
      <c r="K105" s="428"/>
    </row>
    <row r="106" spans="1:12">
      <c r="A106" s="89">
        <f t="shared" si="11"/>
        <v>1900</v>
      </c>
      <c r="G106" s="428"/>
      <c r="H106" s="428"/>
      <c r="I106" s="428"/>
      <c r="J106" s="428"/>
      <c r="K106" s="428"/>
    </row>
    <row r="107" spans="1:12">
      <c r="A107" s="89">
        <f t="shared" si="11"/>
        <v>1900</v>
      </c>
      <c r="G107" s="428"/>
      <c r="H107" s="428"/>
      <c r="I107" s="428"/>
      <c r="J107" s="428"/>
      <c r="K107" s="428"/>
    </row>
    <row r="108" spans="1:12">
      <c r="A108" s="89">
        <f t="shared" si="11"/>
        <v>1900</v>
      </c>
      <c r="G108" s="428"/>
      <c r="H108" s="428"/>
      <c r="I108" s="428"/>
      <c r="J108" s="428"/>
      <c r="K108" s="428"/>
    </row>
    <row r="109" spans="1:12">
      <c r="A109" s="89">
        <f t="shared" si="11"/>
        <v>1900</v>
      </c>
      <c r="G109" s="428"/>
      <c r="H109" s="428"/>
      <c r="I109" s="428"/>
      <c r="J109" s="428"/>
      <c r="K109" s="428"/>
    </row>
    <row r="110" spans="1:12">
      <c r="A110" s="89">
        <f t="shared" si="11"/>
        <v>1900</v>
      </c>
      <c r="G110" s="428"/>
      <c r="H110" s="428"/>
      <c r="I110" s="428"/>
      <c r="J110" s="428"/>
      <c r="K110" s="428"/>
    </row>
    <row r="111" spans="1:12">
      <c r="A111" s="89">
        <f t="shared" si="11"/>
        <v>1900</v>
      </c>
      <c r="G111" s="428"/>
      <c r="H111" s="428"/>
      <c r="I111" s="428"/>
      <c r="J111" s="428"/>
      <c r="K111" s="428"/>
    </row>
    <row r="112" spans="1:12">
      <c r="A112" s="89">
        <f t="shared" si="11"/>
        <v>1900</v>
      </c>
      <c r="G112" s="428"/>
      <c r="H112" s="428"/>
      <c r="I112" s="428"/>
      <c r="J112" s="428"/>
      <c r="K112" s="428"/>
    </row>
    <row r="113" spans="1:11">
      <c r="A113" s="89">
        <f t="shared" si="11"/>
        <v>1900</v>
      </c>
      <c r="G113" s="428"/>
      <c r="H113" s="428"/>
      <c r="I113" s="428"/>
      <c r="J113" s="428"/>
      <c r="K113" s="428"/>
    </row>
    <row r="114" spans="1:11">
      <c r="A114" s="89">
        <f t="shared" si="11"/>
        <v>1900</v>
      </c>
      <c r="G114" s="428"/>
      <c r="H114" s="428"/>
      <c r="I114" s="428"/>
      <c r="J114" s="428"/>
      <c r="K114" s="428"/>
    </row>
    <row r="115" spans="1:11">
      <c r="A115" s="89">
        <f t="shared" si="11"/>
        <v>1900</v>
      </c>
      <c r="G115" s="428"/>
      <c r="H115" s="428"/>
      <c r="I115" s="428"/>
      <c r="J115" s="428"/>
      <c r="K115" s="428"/>
    </row>
    <row r="116" spans="1:11">
      <c r="A116" s="89">
        <f t="shared" si="11"/>
        <v>1900</v>
      </c>
      <c r="G116" s="428"/>
      <c r="H116" s="428"/>
      <c r="I116" s="428"/>
      <c r="J116" s="428"/>
      <c r="K116" s="428"/>
    </row>
    <row r="117" spans="1:11">
      <c r="A117" s="89">
        <f t="shared" si="11"/>
        <v>1900</v>
      </c>
      <c r="G117" s="428"/>
      <c r="H117" s="428"/>
      <c r="I117" s="428"/>
      <c r="J117" s="428"/>
      <c r="K117" s="428"/>
    </row>
    <row r="118" spans="1:11">
      <c r="A118" s="89">
        <f t="shared" si="11"/>
        <v>1900</v>
      </c>
      <c r="G118" s="428"/>
      <c r="H118" s="428"/>
      <c r="I118" s="428"/>
      <c r="J118" s="428"/>
      <c r="K118" s="428"/>
    </row>
    <row r="119" spans="1:11">
      <c r="A119" s="89">
        <f t="shared" si="11"/>
        <v>1900</v>
      </c>
      <c r="G119" s="428"/>
      <c r="H119" s="428"/>
      <c r="I119" s="428"/>
      <c r="J119" s="428"/>
      <c r="K119" s="428"/>
    </row>
    <row r="120" spans="1:11">
      <c r="A120" s="89">
        <f t="shared" si="11"/>
        <v>1900</v>
      </c>
      <c r="G120" s="428"/>
      <c r="H120" s="428"/>
      <c r="I120" s="428"/>
      <c r="J120" s="428"/>
      <c r="K120" s="428"/>
    </row>
    <row r="121" spans="1:11">
      <c r="A121" s="89">
        <f t="shared" si="11"/>
        <v>1900</v>
      </c>
      <c r="G121" s="428"/>
      <c r="H121" s="428"/>
      <c r="I121" s="428"/>
      <c r="J121" s="428"/>
      <c r="K121" s="428"/>
    </row>
    <row r="122" spans="1:11">
      <c r="A122" s="89">
        <f t="shared" si="11"/>
        <v>1900</v>
      </c>
      <c r="G122" s="428"/>
      <c r="H122" s="428"/>
      <c r="I122" s="428"/>
      <c r="J122" s="428"/>
      <c r="K122" s="428"/>
    </row>
    <row r="123" spans="1:11">
      <c r="A123" s="89">
        <f t="shared" si="11"/>
        <v>1900</v>
      </c>
      <c r="G123" s="428"/>
      <c r="H123" s="428"/>
      <c r="I123" s="428"/>
      <c r="J123" s="428"/>
      <c r="K123" s="428"/>
    </row>
    <row r="124" spans="1:11">
      <c r="A124" s="89">
        <f t="shared" si="11"/>
        <v>1900</v>
      </c>
      <c r="G124" s="428"/>
      <c r="H124" s="428"/>
      <c r="I124" s="428"/>
      <c r="J124" s="428"/>
      <c r="K124" s="428"/>
    </row>
    <row r="125" spans="1:11">
      <c r="A125" s="89">
        <f t="shared" si="11"/>
        <v>1900</v>
      </c>
      <c r="G125" s="428"/>
      <c r="H125" s="428"/>
      <c r="I125" s="428"/>
      <c r="J125" s="428"/>
      <c r="K125" s="428"/>
    </row>
    <row r="126" spans="1:11">
      <c r="A126" s="89">
        <f t="shared" si="11"/>
        <v>1900</v>
      </c>
      <c r="G126" s="428"/>
      <c r="H126" s="428"/>
      <c r="I126" s="428"/>
      <c r="J126" s="428"/>
      <c r="K126" s="428"/>
    </row>
    <row r="127" spans="1:11">
      <c r="A127" s="89">
        <f t="shared" si="11"/>
        <v>1900</v>
      </c>
      <c r="G127" s="428"/>
      <c r="H127" s="428"/>
      <c r="I127" s="428"/>
      <c r="J127" s="428"/>
      <c r="K127" s="428"/>
    </row>
    <row r="128" spans="1:11">
      <c r="A128" s="89">
        <f t="shared" si="11"/>
        <v>1900</v>
      </c>
      <c r="G128" s="428"/>
      <c r="H128" s="428"/>
      <c r="I128" s="428"/>
      <c r="J128" s="428"/>
      <c r="K128" s="428"/>
    </row>
    <row r="129" spans="1:11">
      <c r="A129" s="89">
        <f t="shared" si="11"/>
        <v>1900</v>
      </c>
      <c r="G129" s="428"/>
      <c r="H129" s="428"/>
      <c r="I129" s="428"/>
      <c r="J129" s="428"/>
      <c r="K129" s="428"/>
    </row>
    <row r="130" spans="1:11">
      <c r="A130" s="89">
        <f t="shared" si="11"/>
        <v>1900</v>
      </c>
      <c r="G130" s="428"/>
      <c r="H130" s="428"/>
      <c r="I130" s="428"/>
      <c r="J130" s="428"/>
      <c r="K130" s="428"/>
    </row>
    <row r="131" spans="1:11">
      <c r="A131" s="89">
        <f t="shared" si="11"/>
        <v>1900</v>
      </c>
      <c r="G131" s="428"/>
      <c r="H131" s="428"/>
      <c r="I131" s="428"/>
      <c r="J131" s="428"/>
      <c r="K131" s="428"/>
    </row>
    <row r="132" spans="1:11">
      <c r="A132" s="89">
        <f t="shared" si="11"/>
        <v>1900</v>
      </c>
      <c r="G132" s="428"/>
      <c r="H132" s="428"/>
      <c r="I132" s="428"/>
      <c r="J132" s="428"/>
      <c r="K132" s="428"/>
    </row>
    <row r="133" spans="1:11">
      <c r="A133" s="89">
        <f t="shared" si="11"/>
        <v>1900</v>
      </c>
      <c r="G133" s="428"/>
      <c r="H133" s="428"/>
      <c r="I133" s="428"/>
      <c r="J133" s="428"/>
      <c r="K133" s="428"/>
    </row>
    <row r="134" spans="1:11">
      <c r="A134" s="89">
        <f t="shared" si="11"/>
        <v>1900</v>
      </c>
      <c r="G134" s="428"/>
      <c r="H134" s="428"/>
      <c r="I134" s="428"/>
      <c r="J134" s="428"/>
      <c r="K134" s="428"/>
    </row>
    <row r="135" spans="1:11">
      <c r="A135" s="89">
        <f t="shared" si="11"/>
        <v>1900</v>
      </c>
      <c r="G135" s="428"/>
      <c r="H135" s="428"/>
      <c r="I135" s="428"/>
      <c r="J135" s="428"/>
      <c r="K135" s="428"/>
    </row>
    <row r="136" spans="1:11">
      <c r="A136" s="89">
        <f t="shared" si="11"/>
        <v>1900</v>
      </c>
      <c r="G136" s="428"/>
      <c r="H136" s="428"/>
      <c r="I136" s="428"/>
      <c r="J136" s="428"/>
      <c r="K136" s="428"/>
    </row>
    <row r="137" spans="1:11">
      <c r="A137" s="89">
        <f t="shared" ref="A137:A200" si="14">YEAR(B137)</f>
        <v>1900</v>
      </c>
      <c r="G137" s="428"/>
      <c r="H137" s="428"/>
      <c r="I137" s="428"/>
      <c r="J137" s="428"/>
      <c r="K137" s="428"/>
    </row>
    <row r="138" spans="1:11">
      <c r="A138" s="89">
        <f t="shared" si="14"/>
        <v>1900</v>
      </c>
      <c r="G138" s="428"/>
      <c r="H138" s="428"/>
      <c r="I138" s="428"/>
      <c r="J138" s="428"/>
      <c r="K138" s="428"/>
    </row>
    <row r="139" spans="1:11">
      <c r="A139" s="89">
        <f t="shared" si="14"/>
        <v>1900</v>
      </c>
      <c r="G139" s="428"/>
      <c r="H139" s="428"/>
      <c r="I139" s="428"/>
      <c r="J139" s="428"/>
      <c r="K139" s="428"/>
    </row>
    <row r="140" spans="1:11">
      <c r="A140" s="89">
        <f t="shared" si="14"/>
        <v>1900</v>
      </c>
      <c r="G140" s="428"/>
      <c r="H140" s="428"/>
      <c r="I140" s="428"/>
      <c r="J140" s="428"/>
      <c r="K140" s="428"/>
    </row>
    <row r="141" spans="1:11">
      <c r="A141" s="89">
        <f t="shared" si="14"/>
        <v>1900</v>
      </c>
      <c r="G141" s="428"/>
      <c r="H141" s="428"/>
      <c r="I141" s="428"/>
      <c r="J141" s="428"/>
      <c r="K141" s="428"/>
    </row>
    <row r="142" spans="1:11">
      <c r="A142" s="89">
        <f t="shared" si="14"/>
        <v>1900</v>
      </c>
      <c r="G142" s="428"/>
      <c r="H142" s="428"/>
      <c r="I142" s="428"/>
      <c r="J142" s="428"/>
      <c r="K142" s="428"/>
    </row>
    <row r="143" spans="1:11">
      <c r="A143" s="89">
        <f t="shared" si="14"/>
        <v>1900</v>
      </c>
      <c r="G143" s="428"/>
      <c r="H143" s="428"/>
      <c r="I143" s="428"/>
      <c r="J143" s="428"/>
      <c r="K143" s="428"/>
    </row>
    <row r="144" spans="1:11">
      <c r="A144" s="89">
        <f t="shared" si="14"/>
        <v>1900</v>
      </c>
      <c r="G144" s="428"/>
      <c r="H144" s="428"/>
      <c r="I144" s="428"/>
      <c r="J144" s="428"/>
      <c r="K144" s="428"/>
    </row>
    <row r="145" spans="1:11">
      <c r="A145" s="89">
        <f t="shared" si="14"/>
        <v>1900</v>
      </c>
      <c r="G145" s="428"/>
      <c r="H145" s="428"/>
      <c r="I145" s="428"/>
      <c r="J145" s="428"/>
      <c r="K145" s="428"/>
    </row>
    <row r="146" spans="1:11">
      <c r="A146" s="89">
        <f t="shared" si="14"/>
        <v>1900</v>
      </c>
      <c r="G146" s="428"/>
      <c r="H146" s="428"/>
      <c r="I146" s="428"/>
      <c r="J146" s="428"/>
      <c r="K146" s="428"/>
    </row>
    <row r="147" spans="1:11">
      <c r="A147" s="89">
        <f t="shared" si="14"/>
        <v>1900</v>
      </c>
      <c r="G147" s="428"/>
      <c r="H147" s="428"/>
      <c r="I147" s="428"/>
      <c r="J147" s="428"/>
      <c r="K147" s="428"/>
    </row>
    <row r="148" spans="1:11">
      <c r="A148" s="89">
        <f t="shared" si="14"/>
        <v>1900</v>
      </c>
      <c r="G148" s="428"/>
      <c r="H148" s="428"/>
      <c r="I148" s="428"/>
      <c r="J148" s="428"/>
      <c r="K148" s="428"/>
    </row>
    <row r="149" spans="1:11">
      <c r="A149" s="89">
        <f t="shared" si="14"/>
        <v>1900</v>
      </c>
      <c r="G149" s="428"/>
      <c r="H149" s="428"/>
      <c r="I149" s="428"/>
      <c r="J149" s="428"/>
      <c r="K149" s="428"/>
    </row>
    <row r="150" spans="1:11">
      <c r="A150" s="89">
        <f t="shared" si="14"/>
        <v>1900</v>
      </c>
      <c r="G150" s="428"/>
      <c r="H150" s="428"/>
      <c r="I150" s="428"/>
      <c r="J150" s="428"/>
      <c r="K150" s="428"/>
    </row>
    <row r="151" spans="1:11">
      <c r="A151" s="89">
        <f t="shared" si="14"/>
        <v>1900</v>
      </c>
      <c r="G151" s="428"/>
      <c r="H151" s="428"/>
      <c r="I151" s="428"/>
      <c r="J151" s="428"/>
      <c r="K151" s="428"/>
    </row>
    <row r="152" spans="1:11">
      <c r="A152" s="89">
        <f t="shared" si="14"/>
        <v>1900</v>
      </c>
      <c r="G152" s="428"/>
      <c r="H152" s="428"/>
      <c r="I152" s="428"/>
      <c r="J152" s="428"/>
      <c r="K152" s="428"/>
    </row>
    <row r="153" spans="1:11">
      <c r="A153" s="89">
        <f t="shared" si="14"/>
        <v>1900</v>
      </c>
      <c r="G153" s="428"/>
      <c r="H153" s="428"/>
      <c r="I153" s="428"/>
      <c r="J153" s="428"/>
      <c r="K153" s="428"/>
    </row>
    <row r="154" spans="1:11">
      <c r="A154" s="89">
        <f t="shared" si="14"/>
        <v>1900</v>
      </c>
      <c r="G154" s="428"/>
      <c r="H154" s="428"/>
      <c r="I154" s="428"/>
      <c r="J154" s="428"/>
      <c r="K154" s="428"/>
    </row>
    <row r="155" spans="1:11">
      <c r="A155" s="89">
        <f t="shared" si="14"/>
        <v>1900</v>
      </c>
      <c r="G155" s="428"/>
      <c r="H155" s="428"/>
      <c r="I155" s="428"/>
      <c r="J155" s="428"/>
      <c r="K155" s="428"/>
    </row>
    <row r="156" spans="1:11">
      <c r="A156" s="89">
        <f t="shared" si="14"/>
        <v>1900</v>
      </c>
      <c r="G156" s="428"/>
      <c r="H156" s="428"/>
      <c r="I156" s="428"/>
      <c r="J156" s="428"/>
      <c r="K156" s="428"/>
    </row>
    <row r="157" spans="1:11">
      <c r="A157" s="89">
        <f t="shared" si="14"/>
        <v>1900</v>
      </c>
      <c r="G157" s="428"/>
      <c r="H157" s="428"/>
      <c r="I157" s="428"/>
      <c r="J157" s="428"/>
      <c r="K157" s="428"/>
    </row>
    <row r="158" spans="1:11">
      <c r="A158" s="89">
        <f t="shared" si="14"/>
        <v>1900</v>
      </c>
      <c r="G158" s="428"/>
      <c r="H158" s="428"/>
      <c r="I158" s="428"/>
      <c r="J158" s="428"/>
      <c r="K158" s="428"/>
    </row>
    <row r="159" spans="1:11">
      <c r="A159" s="89">
        <f t="shared" si="14"/>
        <v>1900</v>
      </c>
      <c r="G159" s="428"/>
      <c r="H159" s="428"/>
      <c r="I159" s="428"/>
      <c r="J159" s="428"/>
      <c r="K159" s="428"/>
    </row>
    <row r="160" spans="1:11">
      <c r="A160" s="89">
        <f t="shared" si="14"/>
        <v>1900</v>
      </c>
      <c r="G160" s="428"/>
      <c r="H160" s="428"/>
      <c r="I160" s="428"/>
      <c r="J160" s="428"/>
      <c r="K160" s="428"/>
    </row>
    <row r="161" spans="1:11">
      <c r="A161" s="89">
        <f t="shared" si="14"/>
        <v>1900</v>
      </c>
      <c r="G161" s="428"/>
      <c r="H161" s="428"/>
      <c r="I161" s="428"/>
      <c r="J161" s="428"/>
      <c r="K161" s="428"/>
    </row>
    <row r="162" spans="1:11">
      <c r="A162" s="89">
        <f t="shared" si="14"/>
        <v>1900</v>
      </c>
      <c r="G162" s="428"/>
      <c r="H162" s="428"/>
      <c r="I162" s="428"/>
      <c r="J162" s="428"/>
      <c r="K162" s="428"/>
    </row>
    <row r="163" spans="1:11">
      <c r="A163" s="89">
        <f t="shared" si="14"/>
        <v>1900</v>
      </c>
      <c r="G163" s="428"/>
      <c r="H163" s="428"/>
      <c r="I163" s="428"/>
      <c r="J163" s="428"/>
      <c r="K163" s="428"/>
    </row>
    <row r="164" spans="1:11">
      <c r="A164" s="89">
        <f t="shared" si="14"/>
        <v>1900</v>
      </c>
      <c r="G164" s="428"/>
      <c r="H164" s="428"/>
      <c r="I164" s="428"/>
      <c r="J164" s="428"/>
      <c r="K164" s="428"/>
    </row>
    <row r="165" spans="1:11">
      <c r="A165" s="89">
        <f t="shared" si="14"/>
        <v>1900</v>
      </c>
      <c r="G165" s="428"/>
      <c r="H165" s="428"/>
      <c r="I165" s="428"/>
      <c r="J165" s="428"/>
      <c r="K165" s="428"/>
    </row>
    <row r="166" spans="1:11">
      <c r="A166" s="89">
        <f t="shared" si="14"/>
        <v>1900</v>
      </c>
      <c r="G166" s="428"/>
      <c r="H166" s="428"/>
      <c r="I166" s="428"/>
      <c r="J166" s="428"/>
      <c r="K166" s="428"/>
    </row>
    <row r="167" spans="1:11">
      <c r="A167" s="89">
        <f t="shared" si="14"/>
        <v>1900</v>
      </c>
      <c r="G167" s="428"/>
      <c r="H167" s="428"/>
      <c r="I167" s="428"/>
      <c r="J167" s="428"/>
      <c r="K167" s="428"/>
    </row>
    <row r="168" spans="1:11">
      <c r="A168" s="89">
        <f t="shared" si="14"/>
        <v>1900</v>
      </c>
      <c r="G168" s="428"/>
      <c r="H168" s="428"/>
      <c r="I168" s="428"/>
      <c r="J168" s="428"/>
      <c r="K168" s="428"/>
    </row>
    <row r="169" spans="1:11">
      <c r="A169" s="89">
        <f t="shared" si="14"/>
        <v>1900</v>
      </c>
      <c r="G169" s="428"/>
      <c r="H169" s="428"/>
      <c r="I169" s="428"/>
      <c r="J169" s="428"/>
      <c r="K169" s="428"/>
    </row>
    <row r="170" spans="1:11">
      <c r="A170" s="89">
        <f t="shared" si="14"/>
        <v>1900</v>
      </c>
      <c r="G170" s="428"/>
      <c r="H170" s="428"/>
      <c r="I170" s="428"/>
      <c r="J170" s="428"/>
      <c r="K170" s="428"/>
    </row>
    <row r="171" spans="1:11">
      <c r="A171" s="89">
        <f t="shared" si="14"/>
        <v>1900</v>
      </c>
      <c r="G171" s="428"/>
      <c r="H171" s="428"/>
      <c r="I171" s="428"/>
      <c r="J171" s="428"/>
      <c r="K171" s="428"/>
    </row>
    <row r="172" spans="1:11">
      <c r="A172" s="89">
        <f t="shared" si="14"/>
        <v>1900</v>
      </c>
      <c r="G172" s="428"/>
      <c r="H172" s="428"/>
      <c r="I172" s="428"/>
      <c r="J172" s="428"/>
      <c r="K172" s="428"/>
    </row>
    <row r="173" spans="1:11">
      <c r="A173" s="89">
        <f t="shared" si="14"/>
        <v>1900</v>
      </c>
      <c r="G173" s="428"/>
      <c r="H173" s="428"/>
      <c r="I173" s="428"/>
      <c r="J173" s="428"/>
      <c r="K173" s="428"/>
    </row>
    <row r="174" spans="1:11">
      <c r="A174" s="89">
        <f t="shared" si="14"/>
        <v>1900</v>
      </c>
      <c r="G174" s="428"/>
      <c r="H174" s="428"/>
      <c r="I174" s="428"/>
      <c r="J174" s="428"/>
      <c r="K174" s="428"/>
    </row>
    <row r="175" spans="1:11">
      <c r="A175" s="89">
        <f t="shared" si="14"/>
        <v>1900</v>
      </c>
      <c r="G175" s="428"/>
      <c r="H175" s="428"/>
      <c r="I175" s="428"/>
      <c r="J175" s="428"/>
      <c r="K175" s="428"/>
    </row>
    <row r="176" spans="1:11">
      <c r="A176" s="89">
        <f t="shared" si="14"/>
        <v>1900</v>
      </c>
      <c r="G176" s="428"/>
      <c r="H176" s="428"/>
      <c r="I176" s="428"/>
      <c r="J176" s="428"/>
      <c r="K176" s="428"/>
    </row>
    <row r="177" spans="1:11">
      <c r="A177" s="89">
        <f t="shared" si="14"/>
        <v>1900</v>
      </c>
      <c r="G177" s="428"/>
      <c r="H177" s="428"/>
      <c r="I177" s="428"/>
      <c r="J177" s="428"/>
      <c r="K177" s="428"/>
    </row>
    <row r="178" spans="1:11">
      <c r="A178" s="89">
        <f t="shared" si="14"/>
        <v>1900</v>
      </c>
      <c r="G178" s="428"/>
      <c r="H178" s="428"/>
      <c r="I178" s="428"/>
      <c r="J178" s="428"/>
      <c r="K178" s="428"/>
    </row>
    <row r="179" spans="1:11">
      <c r="A179" s="89">
        <f t="shared" si="14"/>
        <v>1900</v>
      </c>
      <c r="G179" s="428"/>
      <c r="H179" s="428"/>
      <c r="I179" s="428"/>
      <c r="J179" s="428"/>
      <c r="K179" s="428"/>
    </row>
    <row r="180" spans="1:11">
      <c r="A180" s="89">
        <f t="shared" si="14"/>
        <v>1900</v>
      </c>
      <c r="G180" s="428"/>
      <c r="H180" s="428"/>
      <c r="I180" s="428"/>
      <c r="J180" s="428"/>
      <c r="K180" s="428"/>
    </row>
    <row r="181" spans="1:11">
      <c r="A181" s="89">
        <f t="shared" si="14"/>
        <v>1900</v>
      </c>
      <c r="G181" s="428"/>
      <c r="H181" s="428"/>
      <c r="I181" s="428"/>
      <c r="J181" s="428"/>
      <c r="K181" s="428"/>
    </row>
    <row r="182" spans="1:11">
      <c r="A182" s="89">
        <f t="shared" si="14"/>
        <v>1900</v>
      </c>
      <c r="G182" s="428"/>
      <c r="H182" s="428"/>
      <c r="I182" s="428"/>
      <c r="J182" s="428"/>
      <c r="K182" s="428"/>
    </row>
    <row r="183" spans="1:11">
      <c r="A183" s="89">
        <f t="shared" si="14"/>
        <v>1900</v>
      </c>
      <c r="G183" s="428"/>
      <c r="H183" s="428"/>
      <c r="I183" s="428"/>
      <c r="J183" s="428"/>
      <c r="K183" s="428"/>
    </row>
    <row r="184" spans="1:11">
      <c r="A184" s="89">
        <f t="shared" si="14"/>
        <v>1900</v>
      </c>
      <c r="G184" s="428"/>
      <c r="H184" s="428"/>
      <c r="I184" s="428"/>
      <c r="J184" s="428"/>
      <c r="K184" s="428"/>
    </row>
    <row r="185" spans="1:11">
      <c r="A185" s="89">
        <f t="shared" si="14"/>
        <v>1900</v>
      </c>
      <c r="G185" s="428"/>
      <c r="H185" s="428"/>
      <c r="I185" s="428"/>
      <c r="J185" s="428"/>
      <c r="K185" s="428"/>
    </row>
    <row r="186" spans="1:11">
      <c r="A186" s="89">
        <f t="shared" si="14"/>
        <v>1900</v>
      </c>
      <c r="G186" s="428"/>
      <c r="H186" s="428"/>
      <c r="I186" s="428"/>
      <c r="J186" s="428"/>
      <c r="K186" s="428"/>
    </row>
    <row r="187" spans="1:11">
      <c r="A187" s="89">
        <f t="shared" si="14"/>
        <v>1900</v>
      </c>
      <c r="G187" s="428"/>
      <c r="H187" s="428"/>
      <c r="I187" s="428"/>
      <c r="J187" s="428"/>
      <c r="K187" s="428"/>
    </row>
    <row r="188" spans="1:11">
      <c r="A188" s="89">
        <f t="shared" si="14"/>
        <v>1900</v>
      </c>
      <c r="G188" s="428"/>
      <c r="H188" s="428"/>
      <c r="I188" s="428"/>
      <c r="J188" s="428"/>
      <c r="K188" s="428"/>
    </row>
    <row r="189" spans="1:11">
      <c r="A189" s="89">
        <f t="shared" si="14"/>
        <v>1900</v>
      </c>
      <c r="G189" s="428"/>
      <c r="H189" s="428"/>
      <c r="I189" s="428"/>
      <c r="J189" s="428"/>
      <c r="K189" s="428"/>
    </row>
    <row r="190" spans="1:11">
      <c r="A190" s="89">
        <f t="shared" si="14"/>
        <v>1900</v>
      </c>
      <c r="G190" s="428"/>
      <c r="H190" s="428"/>
      <c r="I190" s="428"/>
      <c r="J190" s="428"/>
      <c r="K190" s="428"/>
    </row>
    <row r="191" spans="1:11">
      <c r="A191" s="89">
        <f t="shared" si="14"/>
        <v>1900</v>
      </c>
      <c r="G191" s="428"/>
      <c r="H191" s="428"/>
      <c r="I191" s="428"/>
      <c r="J191" s="428"/>
      <c r="K191" s="428"/>
    </row>
    <row r="192" spans="1:11">
      <c r="A192" s="89">
        <f t="shared" si="14"/>
        <v>1900</v>
      </c>
      <c r="G192" s="428"/>
      <c r="H192" s="428"/>
      <c r="I192" s="428"/>
      <c r="J192" s="428"/>
      <c r="K192" s="428"/>
    </row>
    <row r="193" spans="1:11">
      <c r="A193" s="89">
        <f t="shared" si="14"/>
        <v>1900</v>
      </c>
      <c r="G193" s="428"/>
      <c r="H193" s="428"/>
      <c r="I193" s="428"/>
      <c r="J193" s="428"/>
      <c r="K193" s="428"/>
    </row>
    <row r="194" spans="1:11">
      <c r="A194" s="89">
        <f t="shared" si="14"/>
        <v>1900</v>
      </c>
      <c r="G194" s="428"/>
      <c r="H194" s="428"/>
      <c r="I194" s="428"/>
      <c r="J194" s="428"/>
      <c r="K194" s="428"/>
    </row>
    <row r="195" spans="1:11">
      <c r="A195" s="89">
        <f t="shared" si="14"/>
        <v>1900</v>
      </c>
      <c r="G195" s="428"/>
      <c r="H195" s="428"/>
      <c r="I195" s="428"/>
      <c r="J195" s="428"/>
      <c r="K195" s="428"/>
    </row>
    <row r="196" spans="1:11">
      <c r="A196" s="89">
        <f t="shared" si="14"/>
        <v>1900</v>
      </c>
      <c r="G196" s="428"/>
      <c r="H196" s="428"/>
      <c r="I196" s="428"/>
      <c r="J196" s="428"/>
      <c r="K196" s="428"/>
    </row>
    <row r="197" spans="1:11">
      <c r="A197" s="89">
        <f t="shared" si="14"/>
        <v>1900</v>
      </c>
      <c r="G197" s="428"/>
      <c r="H197" s="428"/>
      <c r="I197" s="428"/>
      <c r="J197" s="428"/>
      <c r="K197" s="428"/>
    </row>
    <row r="198" spans="1:11">
      <c r="A198" s="89">
        <f t="shared" si="14"/>
        <v>1900</v>
      </c>
      <c r="G198" s="428"/>
      <c r="H198" s="428"/>
      <c r="I198" s="428"/>
      <c r="J198" s="428"/>
      <c r="K198" s="428"/>
    </row>
    <row r="199" spans="1:11">
      <c r="A199" s="89">
        <f t="shared" si="14"/>
        <v>1900</v>
      </c>
      <c r="G199" s="428"/>
      <c r="H199" s="428"/>
      <c r="I199" s="428"/>
      <c r="J199" s="428"/>
      <c r="K199" s="428"/>
    </row>
    <row r="200" spans="1:11">
      <c r="A200" s="89">
        <f t="shared" si="14"/>
        <v>1900</v>
      </c>
      <c r="G200" s="428"/>
      <c r="H200" s="428"/>
      <c r="I200" s="428"/>
      <c r="J200" s="428"/>
      <c r="K200" s="428"/>
    </row>
    <row r="201" spans="1:11">
      <c r="A201" s="89">
        <f t="shared" ref="A201:A264" si="15">YEAR(B201)</f>
        <v>1900</v>
      </c>
      <c r="G201" s="428"/>
      <c r="H201" s="428"/>
      <c r="I201" s="428"/>
      <c r="J201" s="428"/>
      <c r="K201" s="428"/>
    </row>
    <row r="202" spans="1:11">
      <c r="A202" s="89">
        <f t="shared" si="15"/>
        <v>1900</v>
      </c>
      <c r="G202" s="428"/>
      <c r="H202" s="428"/>
      <c r="I202" s="428"/>
      <c r="J202" s="428"/>
      <c r="K202" s="428"/>
    </row>
    <row r="203" spans="1:11">
      <c r="A203" s="89">
        <f t="shared" si="15"/>
        <v>1900</v>
      </c>
      <c r="G203" s="428"/>
      <c r="H203" s="428"/>
      <c r="I203" s="428"/>
      <c r="J203" s="428"/>
      <c r="K203" s="428"/>
    </row>
    <row r="204" spans="1:11">
      <c r="A204" s="89">
        <f t="shared" si="15"/>
        <v>1900</v>
      </c>
      <c r="G204" s="428"/>
      <c r="H204" s="428"/>
      <c r="I204" s="428"/>
      <c r="J204" s="428"/>
      <c r="K204" s="428"/>
    </row>
    <row r="205" spans="1:11">
      <c r="A205" s="89">
        <f t="shared" si="15"/>
        <v>1900</v>
      </c>
      <c r="G205" s="428"/>
      <c r="H205" s="428"/>
      <c r="I205" s="428"/>
      <c r="J205" s="428"/>
      <c r="K205" s="428"/>
    </row>
    <row r="206" spans="1:11">
      <c r="A206" s="89">
        <f t="shared" si="15"/>
        <v>1900</v>
      </c>
      <c r="G206" s="428"/>
      <c r="H206" s="428"/>
      <c r="I206" s="428"/>
      <c r="J206" s="428"/>
      <c r="K206" s="428"/>
    </row>
    <row r="207" spans="1:11">
      <c r="A207" s="89">
        <f t="shared" si="15"/>
        <v>1900</v>
      </c>
      <c r="G207" s="428"/>
      <c r="H207" s="428"/>
      <c r="I207" s="428"/>
      <c r="J207" s="428"/>
      <c r="K207" s="428"/>
    </row>
    <row r="208" spans="1:11">
      <c r="A208" s="89">
        <f t="shared" si="15"/>
        <v>1900</v>
      </c>
      <c r="G208" s="428"/>
      <c r="H208" s="428"/>
      <c r="I208" s="428"/>
      <c r="J208" s="428"/>
      <c r="K208" s="428"/>
    </row>
    <row r="209" spans="1:11">
      <c r="A209" s="89">
        <f t="shared" si="15"/>
        <v>1900</v>
      </c>
      <c r="G209" s="428"/>
      <c r="H209" s="428"/>
      <c r="I209" s="428"/>
      <c r="J209" s="428"/>
      <c r="K209" s="428"/>
    </row>
    <row r="210" spans="1:11">
      <c r="A210" s="89">
        <f t="shared" si="15"/>
        <v>1900</v>
      </c>
      <c r="G210" s="428"/>
      <c r="H210" s="428"/>
      <c r="I210" s="428"/>
      <c r="J210" s="428"/>
      <c r="K210" s="428"/>
    </row>
    <row r="211" spans="1:11">
      <c r="A211" s="89">
        <f t="shared" si="15"/>
        <v>1900</v>
      </c>
      <c r="G211" s="428"/>
      <c r="H211" s="428"/>
      <c r="I211" s="428"/>
      <c r="J211" s="428"/>
      <c r="K211" s="428"/>
    </row>
    <row r="212" spans="1:11">
      <c r="A212" s="89">
        <f t="shared" si="15"/>
        <v>1900</v>
      </c>
      <c r="G212" s="428"/>
      <c r="H212" s="428"/>
      <c r="I212" s="428"/>
      <c r="J212" s="428"/>
      <c r="K212" s="428"/>
    </row>
    <row r="213" spans="1:11">
      <c r="A213" s="89">
        <f t="shared" si="15"/>
        <v>1900</v>
      </c>
      <c r="G213" s="428"/>
      <c r="H213" s="428"/>
      <c r="I213" s="428"/>
      <c r="J213" s="428"/>
      <c r="K213" s="428"/>
    </row>
    <row r="214" spans="1:11">
      <c r="A214" s="89">
        <f t="shared" si="15"/>
        <v>1900</v>
      </c>
      <c r="G214" s="428"/>
      <c r="H214" s="428"/>
      <c r="I214" s="428"/>
      <c r="J214" s="428"/>
      <c r="K214" s="428"/>
    </row>
    <row r="215" spans="1:11">
      <c r="A215" s="89">
        <f t="shared" si="15"/>
        <v>1900</v>
      </c>
      <c r="G215" s="428"/>
      <c r="H215" s="428"/>
      <c r="I215" s="428"/>
      <c r="J215" s="428"/>
      <c r="K215" s="428"/>
    </row>
    <row r="216" spans="1:11">
      <c r="A216" s="89">
        <f t="shared" si="15"/>
        <v>1900</v>
      </c>
      <c r="G216" s="428"/>
      <c r="H216" s="428"/>
      <c r="I216" s="428"/>
      <c r="J216" s="428"/>
      <c r="K216" s="428"/>
    </row>
    <row r="217" spans="1:11">
      <c r="A217" s="89">
        <f t="shared" si="15"/>
        <v>1900</v>
      </c>
      <c r="G217" s="428"/>
      <c r="H217" s="428"/>
      <c r="I217" s="428"/>
      <c r="J217" s="428"/>
      <c r="K217" s="428"/>
    </row>
    <row r="218" spans="1:11">
      <c r="A218" s="89">
        <f t="shared" si="15"/>
        <v>1900</v>
      </c>
      <c r="G218" s="428"/>
      <c r="H218" s="428"/>
      <c r="I218" s="428"/>
      <c r="J218" s="428"/>
      <c r="K218" s="428"/>
    </row>
    <row r="219" spans="1:11">
      <c r="A219" s="89">
        <f t="shared" si="15"/>
        <v>1900</v>
      </c>
      <c r="G219" s="428"/>
      <c r="H219" s="428"/>
      <c r="I219" s="428"/>
      <c r="J219" s="428"/>
      <c r="K219" s="428"/>
    </row>
    <row r="220" spans="1:11">
      <c r="A220" s="89">
        <f t="shared" si="15"/>
        <v>1900</v>
      </c>
      <c r="G220" s="428"/>
      <c r="H220" s="428"/>
      <c r="I220" s="428"/>
      <c r="J220" s="428"/>
      <c r="K220" s="428"/>
    </row>
    <row r="221" spans="1:11">
      <c r="A221" s="89">
        <f t="shared" si="15"/>
        <v>1900</v>
      </c>
      <c r="G221" s="428"/>
      <c r="H221" s="428"/>
      <c r="I221" s="428"/>
      <c r="J221" s="428"/>
      <c r="K221" s="428"/>
    </row>
    <row r="222" spans="1:11">
      <c r="A222" s="89">
        <f t="shared" si="15"/>
        <v>1900</v>
      </c>
      <c r="G222" s="428"/>
      <c r="H222" s="428"/>
      <c r="I222" s="428"/>
      <c r="J222" s="428"/>
      <c r="K222" s="428"/>
    </row>
    <row r="223" spans="1:11">
      <c r="A223" s="89">
        <f t="shared" si="15"/>
        <v>1900</v>
      </c>
      <c r="G223" s="428"/>
      <c r="H223" s="428"/>
      <c r="I223" s="428"/>
      <c r="J223" s="428"/>
      <c r="K223" s="428"/>
    </row>
    <row r="224" spans="1:11">
      <c r="A224" s="89">
        <f t="shared" si="15"/>
        <v>1900</v>
      </c>
      <c r="G224" s="428"/>
      <c r="H224" s="428"/>
      <c r="I224" s="428"/>
      <c r="J224" s="428"/>
      <c r="K224" s="428"/>
    </row>
    <row r="225" spans="1:11">
      <c r="A225" s="89">
        <f t="shared" si="15"/>
        <v>1900</v>
      </c>
      <c r="G225" s="428"/>
      <c r="H225" s="428"/>
      <c r="I225" s="428"/>
      <c r="J225" s="428"/>
      <c r="K225" s="428"/>
    </row>
    <row r="226" spans="1:11">
      <c r="A226" s="89">
        <f t="shared" si="15"/>
        <v>1900</v>
      </c>
      <c r="G226" s="428"/>
      <c r="H226" s="428"/>
      <c r="I226" s="428"/>
      <c r="J226" s="428"/>
      <c r="K226" s="428"/>
    </row>
    <row r="227" spans="1:11">
      <c r="A227" s="89">
        <f t="shared" si="15"/>
        <v>1900</v>
      </c>
      <c r="G227" s="428"/>
      <c r="H227" s="428"/>
      <c r="I227" s="428"/>
      <c r="J227" s="428"/>
      <c r="K227" s="428"/>
    </row>
    <row r="228" spans="1:11">
      <c r="A228" s="89">
        <f t="shared" si="15"/>
        <v>1900</v>
      </c>
      <c r="G228" s="428"/>
      <c r="H228" s="428"/>
      <c r="I228" s="428"/>
      <c r="J228" s="428"/>
      <c r="K228" s="428"/>
    </row>
    <row r="229" spans="1:11">
      <c r="A229" s="89">
        <f t="shared" si="15"/>
        <v>1900</v>
      </c>
      <c r="G229" s="428"/>
      <c r="H229" s="428"/>
      <c r="I229" s="428"/>
      <c r="J229" s="428"/>
      <c r="K229" s="428"/>
    </row>
    <row r="230" spans="1:11">
      <c r="A230" s="89">
        <f t="shared" si="15"/>
        <v>1900</v>
      </c>
      <c r="G230" s="428"/>
      <c r="H230" s="428"/>
      <c r="I230" s="428"/>
      <c r="J230" s="428"/>
      <c r="K230" s="428"/>
    </row>
    <row r="231" spans="1:11">
      <c r="A231" s="89">
        <f t="shared" si="15"/>
        <v>1900</v>
      </c>
      <c r="G231" s="428"/>
      <c r="H231" s="428"/>
      <c r="I231" s="428"/>
      <c r="J231" s="428"/>
      <c r="K231" s="428"/>
    </row>
    <row r="232" spans="1:11">
      <c r="A232" s="89">
        <f t="shared" si="15"/>
        <v>1900</v>
      </c>
      <c r="G232" s="428"/>
      <c r="H232" s="428"/>
      <c r="I232" s="428"/>
      <c r="J232" s="428"/>
      <c r="K232" s="428"/>
    </row>
    <row r="233" spans="1:11">
      <c r="A233" s="89">
        <f t="shared" si="15"/>
        <v>1900</v>
      </c>
      <c r="G233" s="428"/>
      <c r="H233" s="428"/>
      <c r="I233" s="428"/>
      <c r="J233" s="428"/>
      <c r="K233" s="428"/>
    </row>
    <row r="234" spans="1:11">
      <c r="A234" s="89">
        <f t="shared" si="15"/>
        <v>1900</v>
      </c>
      <c r="G234" s="428"/>
      <c r="H234" s="428"/>
      <c r="I234" s="428"/>
      <c r="J234" s="428"/>
      <c r="K234" s="428"/>
    </row>
    <row r="235" spans="1:11">
      <c r="A235" s="89">
        <f t="shared" si="15"/>
        <v>1900</v>
      </c>
      <c r="G235" s="428"/>
      <c r="H235" s="428"/>
      <c r="I235" s="428"/>
      <c r="J235" s="428"/>
      <c r="K235" s="428"/>
    </row>
    <row r="236" spans="1:11">
      <c r="A236" s="89">
        <f t="shared" si="15"/>
        <v>1900</v>
      </c>
      <c r="G236" s="428"/>
      <c r="H236" s="428"/>
      <c r="I236" s="428"/>
      <c r="J236" s="428"/>
      <c r="K236" s="428"/>
    </row>
    <row r="237" spans="1:11">
      <c r="A237" s="89">
        <f t="shared" si="15"/>
        <v>1900</v>
      </c>
      <c r="G237" s="428"/>
      <c r="H237" s="428"/>
      <c r="I237" s="428"/>
      <c r="J237" s="428"/>
      <c r="K237" s="428"/>
    </row>
    <row r="238" spans="1:11">
      <c r="A238" s="89">
        <f t="shared" si="15"/>
        <v>1900</v>
      </c>
      <c r="G238" s="428"/>
      <c r="H238" s="428"/>
      <c r="I238" s="428"/>
      <c r="J238" s="428"/>
      <c r="K238" s="428"/>
    </row>
    <row r="239" spans="1:11">
      <c r="A239" s="89">
        <f t="shared" si="15"/>
        <v>1900</v>
      </c>
      <c r="G239" s="428"/>
      <c r="H239" s="428"/>
      <c r="I239" s="428"/>
      <c r="J239" s="428"/>
      <c r="K239" s="428"/>
    </row>
    <row r="240" spans="1:11">
      <c r="A240" s="89">
        <f t="shared" si="15"/>
        <v>1900</v>
      </c>
      <c r="G240" s="428"/>
      <c r="H240" s="428"/>
      <c r="I240" s="428"/>
      <c r="J240" s="428"/>
      <c r="K240" s="428"/>
    </row>
    <row r="241" spans="1:11">
      <c r="A241" s="89">
        <f t="shared" si="15"/>
        <v>1900</v>
      </c>
      <c r="G241" s="428"/>
      <c r="H241" s="428"/>
      <c r="I241" s="428"/>
      <c r="J241" s="428"/>
      <c r="K241" s="428"/>
    </row>
    <row r="242" spans="1:11">
      <c r="A242" s="89">
        <f t="shared" si="15"/>
        <v>1900</v>
      </c>
      <c r="G242" s="428"/>
      <c r="H242" s="428"/>
      <c r="I242" s="428"/>
      <c r="J242" s="428"/>
      <c r="K242" s="428"/>
    </row>
    <row r="243" spans="1:11">
      <c r="A243" s="89">
        <f t="shared" si="15"/>
        <v>1900</v>
      </c>
      <c r="G243" s="428"/>
      <c r="H243" s="428"/>
      <c r="I243" s="428"/>
      <c r="J243" s="428"/>
      <c r="K243" s="428"/>
    </row>
    <row r="244" spans="1:11">
      <c r="A244" s="89">
        <f t="shared" si="15"/>
        <v>1900</v>
      </c>
      <c r="G244" s="428"/>
      <c r="H244" s="428"/>
      <c r="I244" s="428"/>
      <c r="J244" s="428"/>
      <c r="K244" s="428"/>
    </row>
    <row r="245" spans="1:11">
      <c r="A245" s="89">
        <f t="shared" si="15"/>
        <v>1900</v>
      </c>
      <c r="G245" s="428"/>
      <c r="H245" s="428"/>
      <c r="I245" s="428"/>
      <c r="J245" s="428"/>
      <c r="K245" s="428"/>
    </row>
    <row r="246" spans="1:11">
      <c r="A246" s="89">
        <f t="shared" si="15"/>
        <v>1900</v>
      </c>
      <c r="G246" s="428"/>
      <c r="H246" s="428"/>
      <c r="I246" s="428"/>
      <c r="J246" s="428"/>
      <c r="K246" s="428"/>
    </row>
    <row r="247" spans="1:11">
      <c r="A247" s="89">
        <f t="shared" si="15"/>
        <v>1900</v>
      </c>
      <c r="G247" s="428"/>
      <c r="H247" s="428"/>
      <c r="I247" s="428"/>
      <c r="J247" s="428"/>
      <c r="K247" s="428"/>
    </row>
    <row r="248" spans="1:11">
      <c r="A248" s="89">
        <f t="shared" si="15"/>
        <v>1900</v>
      </c>
      <c r="G248" s="428"/>
      <c r="H248" s="428"/>
      <c r="I248" s="428"/>
      <c r="J248" s="428"/>
      <c r="K248" s="428"/>
    </row>
    <row r="249" spans="1:11">
      <c r="A249" s="89">
        <f t="shared" si="15"/>
        <v>1900</v>
      </c>
      <c r="G249" s="428"/>
      <c r="H249" s="428"/>
      <c r="I249" s="428"/>
      <c r="J249" s="428"/>
      <c r="K249" s="428"/>
    </row>
    <row r="250" spans="1:11">
      <c r="A250" s="89">
        <f t="shared" si="15"/>
        <v>1900</v>
      </c>
      <c r="G250" s="428"/>
      <c r="H250" s="428"/>
      <c r="I250" s="428"/>
      <c r="J250" s="428"/>
      <c r="K250" s="428"/>
    </row>
    <row r="251" spans="1:11">
      <c r="A251" s="89">
        <f t="shared" si="15"/>
        <v>1900</v>
      </c>
      <c r="G251" s="428"/>
      <c r="H251" s="428"/>
      <c r="I251" s="428"/>
      <c r="J251" s="428"/>
      <c r="K251" s="428"/>
    </row>
    <row r="252" spans="1:11">
      <c r="A252" s="89">
        <f t="shared" si="15"/>
        <v>1900</v>
      </c>
      <c r="G252" s="428"/>
      <c r="H252" s="428"/>
      <c r="I252" s="428"/>
      <c r="J252" s="428"/>
      <c r="K252" s="428"/>
    </row>
    <row r="253" spans="1:11">
      <c r="A253" s="89">
        <f t="shared" si="15"/>
        <v>1900</v>
      </c>
      <c r="G253" s="428"/>
      <c r="H253" s="428"/>
      <c r="I253" s="428"/>
      <c r="J253" s="428"/>
      <c r="K253" s="428"/>
    </row>
    <row r="254" spans="1:11">
      <c r="A254" s="89">
        <f t="shared" si="15"/>
        <v>1900</v>
      </c>
      <c r="G254" s="428"/>
      <c r="H254" s="428"/>
      <c r="I254" s="428"/>
      <c r="J254" s="428"/>
      <c r="K254" s="428"/>
    </row>
    <row r="255" spans="1:11">
      <c r="A255" s="89">
        <f t="shared" si="15"/>
        <v>1900</v>
      </c>
      <c r="G255" s="428"/>
      <c r="H255" s="428"/>
      <c r="I255" s="428"/>
      <c r="J255" s="428"/>
      <c r="K255" s="428"/>
    </row>
    <row r="256" spans="1:11">
      <c r="A256" s="89">
        <f t="shared" si="15"/>
        <v>1900</v>
      </c>
      <c r="G256" s="428"/>
      <c r="H256" s="428"/>
      <c r="I256" s="428"/>
      <c r="J256" s="428"/>
      <c r="K256" s="428"/>
    </row>
    <row r="257" spans="1:11">
      <c r="A257" s="89">
        <f t="shared" si="15"/>
        <v>1900</v>
      </c>
      <c r="G257" s="428"/>
      <c r="H257" s="428"/>
      <c r="I257" s="428"/>
      <c r="J257" s="428"/>
      <c r="K257" s="428"/>
    </row>
    <row r="258" spans="1:11">
      <c r="A258" s="89">
        <f t="shared" si="15"/>
        <v>1900</v>
      </c>
      <c r="G258" s="428"/>
      <c r="H258" s="428"/>
      <c r="I258" s="428"/>
      <c r="J258" s="428"/>
      <c r="K258" s="428"/>
    </row>
    <row r="259" spans="1:11">
      <c r="A259" s="89">
        <f t="shared" si="15"/>
        <v>1900</v>
      </c>
      <c r="G259" s="428"/>
      <c r="H259" s="428"/>
      <c r="I259" s="428"/>
      <c r="J259" s="428"/>
      <c r="K259" s="428"/>
    </row>
    <row r="260" spans="1:11">
      <c r="A260" s="89">
        <f t="shared" si="15"/>
        <v>1900</v>
      </c>
      <c r="G260" s="428"/>
      <c r="H260" s="428"/>
      <c r="I260" s="428"/>
      <c r="J260" s="428"/>
      <c r="K260" s="428"/>
    </row>
    <row r="261" spans="1:11">
      <c r="A261" s="89">
        <f t="shared" si="15"/>
        <v>1900</v>
      </c>
      <c r="G261" s="428"/>
      <c r="H261" s="428"/>
      <c r="I261" s="428"/>
      <c r="J261" s="428"/>
      <c r="K261" s="428"/>
    </row>
    <row r="262" spans="1:11">
      <c r="A262" s="89">
        <f t="shared" si="15"/>
        <v>1900</v>
      </c>
      <c r="G262" s="428"/>
      <c r="H262" s="428"/>
      <c r="I262" s="428"/>
      <c r="J262" s="428"/>
      <c r="K262" s="428"/>
    </row>
    <row r="263" spans="1:11">
      <c r="A263" s="89">
        <f t="shared" si="15"/>
        <v>1900</v>
      </c>
      <c r="G263" s="428"/>
      <c r="H263" s="428"/>
      <c r="I263" s="428"/>
      <c r="J263" s="428"/>
      <c r="K263" s="428"/>
    </row>
    <row r="264" spans="1:11">
      <c r="A264" s="89">
        <f t="shared" si="15"/>
        <v>1900</v>
      </c>
      <c r="G264" s="428"/>
      <c r="H264" s="428"/>
      <c r="I264" s="428"/>
      <c r="J264" s="428"/>
      <c r="K264" s="428"/>
    </row>
    <row r="265" spans="1:11">
      <c r="A265" s="89">
        <f t="shared" ref="A265:A328" si="16">YEAR(B265)</f>
        <v>1900</v>
      </c>
      <c r="G265" s="428"/>
      <c r="H265" s="428"/>
      <c r="I265" s="428"/>
      <c r="J265" s="428"/>
      <c r="K265" s="428"/>
    </row>
    <row r="266" spans="1:11">
      <c r="A266" s="89">
        <f t="shared" si="16"/>
        <v>1900</v>
      </c>
      <c r="G266" s="428"/>
      <c r="H266" s="428"/>
      <c r="I266" s="428"/>
      <c r="J266" s="428"/>
      <c r="K266" s="428"/>
    </row>
    <row r="267" spans="1:11">
      <c r="A267" s="89">
        <f t="shared" si="16"/>
        <v>1900</v>
      </c>
      <c r="G267" s="428"/>
      <c r="H267" s="428"/>
      <c r="I267" s="428"/>
      <c r="J267" s="428"/>
      <c r="K267" s="428"/>
    </row>
    <row r="268" spans="1:11">
      <c r="A268" s="89">
        <f t="shared" si="16"/>
        <v>1900</v>
      </c>
      <c r="G268" s="428"/>
      <c r="H268" s="428"/>
      <c r="I268" s="428"/>
      <c r="J268" s="428"/>
      <c r="K268" s="428"/>
    </row>
    <row r="269" spans="1:11">
      <c r="A269" s="89">
        <f t="shared" si="16"/>
        <v>1900</v>
      </c>
      <c r="G269" s="428"/>
      <c r="H269" s="428"/>
      <c r="I269" s="428"/>
      <c r="J269" s="428"/>
      <c r="K269" s="428"/>
    </row>
    <row r="270" spans="1:11">
      <c r="A270" s="89">
        <f t="shared" si="16"/>
        <v>1900</v>
      </c>
      <c r="G270" s="428"/>
      <c r="H270" s="428"/>
      <c r="I270" s="428"/>
      <c r="J270" s="428"/>
      <c r="K270" s="428"/>
    </row>
    <row r="271" spans="1:11">
      <c r="A271" s="89">
        <f t="shared" si="16"/>
        <v>1900</v>
      </c>
      <c r="G271" s="428"/>
      <c r="H271" s="428"/>
      <c r="I271" s="428"/>
      <c r="J271" s="428"/>
      <c r="K271" s="428"/>
    </row>
    <row r="272" spans="1:11">
      <c r="A272" s="89">
        <f t="shared" si="16"/>
        <v>1900</v>
      </c>
      <c r="G272" s="428"/>
      <c r="H272" s="428"/>
      <c r="I272" s="428"/>
      <c r="J272" s="428"/>
      <c r="K272" s="428"/>
    </row>
    <row r="273" spans="1:11">
      <c r="A273" s="89">
        <f t="shared" si="16"/>
        <v>1900</v>
      </c>
      <c r="G273" s="428"/>
      <c r="H273" s="428"/>
      <c r="I273" s="428"/>
      <c r="J273" s="428"/>
      <c r="K273" s="428"/>
    </row>
    <row r="274" spans="1:11">
      <c r="A274" s="89">
        <f t="shared" si="16"/>
        <v>1900</v>
      </c>
      <c r="G274" s="428"/>
      <c r="H274" s="428"/>
      <c r="I274" s="428"/>
      <c r="J274" s="428"/>
      <c r="K274" s="428"/>
    </row>
    <row r="275" spans="1:11">
      <c r="A275" s="89">
        <f t="shared" si="16"/>
        <v>1900</v>
      </c>
      <c r="G275" s="428"/>
      <c r="H275" s="428"/>
      <c r="I275" s="428"/>
      <c r="J275" s="428"/>
      <c r="K275" s="428"/>
    </row>
    <row r="276" spans="1:11">
      <c r="A276" s="89">
        <f t="shared" si="16"/>
        <v>1900</v>
      </c>
      <c r="G276" s="428"/>
      <c r="H276" s="428"/>
      <c r="I276" s="428"/>
      <c r="J276" s="428"/>
      <c r="K276" s="428"/>
    </row>
    <row r="277" spans="1:11">
      <c r="A277" s="89">
        <f t="shared" si="16"/>
        <v>1900</v>
      </c>
      <c r="G277" s="428"/>
      <c r="H277" s="428"/>
      <c r="I277" s="428"/>
      <c r="J277" s="428"/>
      <c r="K277" s="428"/>
    </row>
    <row r="278" spans="1:11">
      <c r="A278" s="89">
        <f t="shared" si="16"/>
        <v>1900</v>
      </c>
      <c r="G278" s="428"/>
      <c r="H278" s="428"/>
      <c r="I278" s="428"/>
      <c r="J278" s="428"/>
      <c r="K278" s="428"/>
    </row>
    <row r="279" spans="1:11">
      <c r="A279" s="89">
        <f t="shared" si="16"/>
        <v>1900</v>
      </c>
      <c r="G279" s="428"/>
      <c r="H279" s="428"/>
      <c r="I279" s="428"/>
      <c r="J279" s="428"/>
      <c r="K279" s="428"/>
    </row>
    <row r="280" spans="1:11">
      <c r="A280" s="89">
        <f t="shared" si="16"/>
        <v>1900</v>
      </c>
      <c r="G280" s="428"/>
      <c r="H280" s="428"/>
      <c r="I280" s="428"/>
      <c r="J280" s="428"/>
      <c r="K280" s="428"/>
    </row>
    <row r="281" spans="1:11">
      <c r="A281" s="89">
        <f t="shared" si="16"/>
        <v>1900</v>
      </c>
      <c r="G281" s="428"/>
      <c r="H281" s="428"/>
      <c r="I281" s="428"/>
      <c r="J281" s="428"/>
      <c r="K281" s="428"/>
    </row>
    <row r="282" spans="1:11">
      <c r="A282" s="89">
        <f t="shared" si="16"/>
        <v>1900</v>
      </c>
      <c r="G282" s="428"/>
      <c r="H282" s="428"/>
      <c r="I282" s="428"/>
      <c r="J282" s="428"/>
      <c r="K282" s="428"/>
    </row>
    <row r="283" spans="1:11">
      <c r="A283" s="89">
        <f t="shared" si="16"/>
        <v>1900</v>
      </c>
      <c r="G283" s="428"/>
      <c r="H283" s="428"/>
      <c r="I283" s="428"/>
      <c r="J283" s="428"/>
      <c r="K283" s="428"/>
    </row>
    <row r="284" spans="1:11">
      <c r="A284" s="89">
        <f t="shared" si="16"/>
        <v>1900</v>
      </c>
      <c r="G284" s="428"/>
      <c r="H284" s="428"/>
      <c r="I284" s="428"/>
      <c r="J284" s="428"/>
      <c r="K284" s="428"/>
    </row>
    <row r="285" spans="1:11">
      <c r="A285" s="89">
        <f t="shared" si="16"/>
        <v>1900</v>
      </c>
      <c r="G285" s="428"/>
      <c r="H285" s="428"/>
      <c r="I285" s="428"/>
      <c r="J285" s="428"/>
      <c r="K285" s="428"/>
    </row>
    <row r="286" spans="1:11">
      <c r="A286" s="89">
        <f t="shared" si="16"/>
        <v>1900</v>
      </c>
      <c r="G286" s="428"/>
      <c r="H286" s="428"/>
      <c r="I286" s="428"/>
      <c r="J286" s="428"/>
      <c r="K286" s="428"/>
    </row>
    <row r="287" spans="1:11">
      <c r="A287" s="89">
        <f t="shared" si="16"/>
        <v>1900</v>
      </c>
      <c r="G287" s="428"/>
      <c r="H287" s="428"/>
      <c r="I287" s="428"/>
      <c r="J287" s="428"/>
      <c r="K287" s="428"/>
    </row>
    <row r="288" spans="1:11">
      <c r="A288" s="89">
        <f t="shared" si="16"/>
        <v>1900</v>
      </c>
      <c r="G288" s="428"/>
      <c r="H288" s="428"/>
      <c r="I288" s="428"/>
      <c r="J288" s="428"/>
      <c r="K288" s="428"/>
    </row>
    <row r="289" spans="1:11">
      <c r="A289" s="89">
        <f t="shared" si="16"/>
        <v>1900</v>
      </c>
      <c r="G289" s="428"/>
      <c r="H289" s="428"/>
      <c r="I289" s="428"/>
      <c r="J289" s="428"/>
      <c r="K289" s="428"/>
    </row>
    <row r="290" spans="1:11">
      <c r="A290" s="89">
        <f t="shared" si="16"/>
        <v>1900</v>
      </c>
      <c r="G290" s="428"/>
      <c r="H290" s="428"/>
      <c r="I290" s="428"/>
      <c r="J290" s="428"/>
      <c r="K290" s="428"/>
    </row>
    <row r="291" spans="1:11">
      <c r="A291" s="89">
        <f t="shared" si="16"/>
        <v>1900</v>
      </c>
      <c r="G291" s="428"/>
      <c r="H291" s="428"/>
      <c r="I291" s="428"/>
      <c r="J291" s="428"/>
      <c r="K291" s="428"/>
    </row>
    <row r="292" spans="1:11">
      <c r="A292" s="89">
        <f t="shared" si="16"/>
        <v>1900</v>
      </c>
      <c r="G292" s="428"/>
      <c r="H292" s="428"/>
      <c r="I292" s="428"/>
      <c r="J292" s="428"/>
      <c r="K292" s="428"/>
    </row>
    <row r="293" spans="1:11">
      <c r="A293" s="89">
        <f t="shared" si="16"/>
        <v>1900</v>
      </c>
      <c r="G293" s="428"/>
      <c r="H293" s="428"/>
      <c r="I293" s="428"/>
      <c r="J293" s="428"/>
      <c r="K293" s="428"/>
    </row>
    <row r="294" spans="1:11">
      <c r="A294" s="89">
        <f t="shared" si="16"/>
        <v>1900</v>
      </c>
      <c r="G294" s="428"/>
      <c r="H294" s="428"/>
      <c r="I294" s="428"/>
      <c r="J294" s="428"/>
      <c r="K294" s="428"/>
    </row>
    <row r="295" spans="1:11">
      <c r="A295" s="89">
        <f t="shared" si="16"/>
        <v>1900</v>
      </c>
      <c r="G295" s="428"/>
      <c r="H295" s="428"/>
      <c r="I295" s="428"/>
      <c r="J295" s="428"/>
      <c r="K295" s="428"/>
    </row>
    <row r="296" spans="1:11">
      <c r="A296" s="89">
        <f t="shared" si="16"/>
        <v>1900</v>
      </c>
      <c r="G296" s="428"/>
      <c r="H296" s="428"/>
      <c r="I296" s="428"/>
      <c r="J296" s="428"/>
      <c r="K296" s="428"/>
    </row>
    <row r="297" spans="1:11">
      <c r="A297" s="89">
        <f t="shared" si="16"/>
        <v>1900</v>
      </c>
      <c r="G297" s="428"/>
      <c r="H297" s="428"/>
      <c r="I297" s="428"/>
      <c r="J297" s="428"/>
      <c r="K297" s="428"/>
    </row>
    <row r="298" spans="1:11">
      <c r="A298" s="89">
        <f t="shared" si="16"/>
        <v>1900</v>
      </c>
      <c r="G298" s="428"/>
      <c r="H298" s="428"/>
      <c r="I298" s="428"/>
      <c r="J298" s="428"/>
      <c r="K298" s="428"/>
    </row>
    <row r="299" spans="1:11">
      <c r="A299" s="89">
        <f t="shared" si="16"/>
        <v>1900</v>
      </c>
      <c r="G299" s="428"/>
      <c r="H299" s="428"/>
      <c r="I299" s="428"/>
      <c r="J299" s="428"/>
      <c r="K299" s="428"/>
    </row>
    <row r="300" spans="1:11">
      <c r="A300" s="89">
        <f t="shared" si="16"/>
        <v>1900</v>
      </c>
      <c r="G300" s="428"/>
      <c r="H300" s="428"/>
      <c r="I300" s="428"/>
      <c r="J300" s="428"/>
      <c r="K300" s="428"/>
    </row>
    <row r="301" spans="1:11">
      <c r="A301" s="89">
        <f t="shared" si="16"/>
        <v>1900</v>
      </c>
      <c r="G301" s="428"/>
      <c r="H301" s="428"/>
      <c r="I301" s="428"/>
      <c r="J301" s="428"/>
      <c r="K301" s="428"/>
    </row>
    <row r="302" spans="1:11">
      <c r="A302" s="89">
        <f t="shared" si="16"/>
        <v>1900</v>
      </c>
      <c r="G302" s="428"/>
      <c r="H302" s="428"/>
      <c r="I302" s="428"/>
      <c r="J302" s="428"/>
      <c r="K302" s="428"/>
    </row>
    <row r="303" spans="1:11">
      <c r="A303" s="89">
        <f t="shared" si="16"/>
        <v>1900</v>
      </c>
      <c r="G303" s="428"/>
      <c r="H303" s="428"/>
      <c r="I303" s="428"/>
      <c r="J303" s="428"/>
      <c r="K303" s="428"/>
    </row>
    <row r="304" spans="1:11">
      <c r="A304" s="89">
        <f t="shared" si="16"/>
        <v>1900</v>
      </c>
      <c r="G304" s="428"/>
      <c r="H304" s="428"/>
      <c r="I304" s="428"/>
      <c r="J304" s="428"/>
      <c r="K304" s="428"/>
    </row>
    <row r="305" spans="1:11">
      <c r="A305" s="89">
        <f t="shared" si="16"/>
        <v>1900</v>
      </c>
      <c r="G305" s="428"/>
      <c r="H305" s="428"/>
      <c r="I305" s="428"/>
      <c r="J305" s="428"/>
      <c r="K305" s="428"/>
    </row>
    <row r="306" spans="1:11">
      <c r="A306" s="89">
        <f t="shared" si="16"/>
        <v>1900</v>
      </c>
      <c r="G306" s="428"/>
      <c r="H306" s="428"/>
      <c r="I306" s="428"/>
      <c r="J306" s="428"/>
      <c r="K306" s="428"/>
    </row>
    <row r="307" spans="1:11">
      <c r="A307" s="89">
        <f t="shared" si="16"/>
        <v>1900</v>
      </c>
      <c r="G307" s="428"/>
      <c r="H307" s="428"/>
      <c r="I307" s="428"/>
      <c r="J307" s="428"/>
      <c r="K307" s="428"/>
    </row>
    <row r="308" spans="1:11">
      <c r="A308" s="89">
        <f t="shared" si="16"/>
        <v>1900</v>
      </c>
      <c r="G308" s="428"/>
      <c r="H308" s="428"/>
      <c r="I308" s="428"/>
      <c r="J308" s="428"/>
      <c r="K308" s="428"/>
    </row>
    <row r="309" spans="1:11">
      <c r="A309" s="89">
        <f t="shared" si="16"/>
        <v>1900</v>
      </c>
      <c r="G309" s="428"/>
      <c r="H309" s="428"/>
      <c r="I309" s="428"/>
      <c r="J309" s="428"/>
      <c r="K309" s="428"/>
    </row>
    <row r="310" spans="1:11">
      <c r="A310" s="89">
        <f t="shared" si="16"/>
        <v>1900</v>
      </c>
      <c r="G310" s="428"/>
      <c r="H310" s="428"/>
      <c r="I310" s="428"/>
      <c r="J310" s="428"/>
      <c r="K310" s="428"/>
    </row>
    <row r="311" spans="1:11">
      <c r="A311" s="89">
        <f t="shared" si="16"/>
        <v>1900</v>
      </c>
      <c r="G311" s="428"/>
      <c r="H311" s="428"/>
      <c r="I311" s="428"/>
      <c r="J311" s="428"/>
      <c r="K311" s="428"/>
    </row>
    <row r="312" spans="1:11">
      <c r="A312" s="89">
        <f t="shared" si="16"/>
        <v>1900</v>
      </c>
      <c r="G312" s="428"/>
      <c r="H312" s="428"/>
      <c r="I312" s="428"/>
      <c r="J312" s="428"/>
      <c r="K312" s="428"/>
    </row>
    <row r="313" spans="1:11">
      <c r="A313" s="89">
        <f t="shared" si="16"/>
        <v>1900</v>
      </c>
      <c r="G313" s="428"/>
      <c r="H313" s="428"/>
      <c r="I313" s="428"/>
      <c r="J313" s="428"/>
      <c r="K313" s="428"/>
    </row>
    <row r="314" spans="1:11">
      <c r="A314" s="89">
        <f t="shared" si="16"/>
        <v>1900</v>
      </c>
      <c r="G314" s="428"/>
      <c r="H314" s="428"/>
      <c r="I314" s="428"/>
      <c r="J314" s="428"/>
      <c r="K314" s="428"/>
    </row>
    <row r="315" spans="1:11">
      <c r="A315" s="89">
        <f t="shared" si="16"/>
        <v>1900</v>
      </c>
      <c r="G315" s="428"/>
      <c r="H315" s="428"/>
      <c r="I315" s="428"/>
      <c r="J315" s="428"/>
      <c r="K315" s="428"/>
    </row>
    <row r="316" spans="1:11">
      <c r="A316" s="89">
        <f t="shared" si="16"/>
        <v>1900</v>
      </c>
      <c r="G316" s="428"/>
      <c r="H316" s="428"/>
      <c r="I316" s="428"/>
      <c r="J316" s="428"/>
      <c r="K316" s="428"/>
    </row>
    <row r="317" spans="1:11">
      <c r="A317" s="89">
        <f t="shared" si="16"/>
        <v>1900</v>
      </c>
      <c r="G317" s="428"/>
      <c r="H317" s="428"/>
      <c r="I317" s="428"/>
      <c r="J317" s="428"/>
      <c r="K317" s="428"/>
    </row>
    <row r="318" spans="1:11">
      <c r="A318" s="89">
        <f t="shared" si="16"/>
        <v>1900</v>
      </c>
      <c r="G318" s="428"/>
      <c r="H318" s="428"/>
      <c r="I318" s="428"/>
      <c r="J318" s="428"/>
      <c r="K318" s="428"/>
    </row>
    <row r="319" spans="1:11">
      <c r="A319" s="89">
        <f t="shared" si="16"/>
        <v>1900</v>
      </c>
      <c r="G319" s="428"/>
      <c r="H319" s="428"/>
      <c r="I319" s="428"/>
      <c r="J319" s="428"/>
      <c r="K319" s="428"/>
    </row>
    <row r="320" spans="1:11">
      <c r="A320" s="89">
        <f t="shared" si="16"/>
        <v>1900</v>
      </c>
      <c r="G320" s="428"/>
      <c r="H320" s="428"/>
      <c r="I320" s="428"/>
      <c r="J320" s="428"/>
      <c r="K320" s="428"/>
    </row>
    <row r="321" spans="1:11">
      <c r="A321" s="89">
        <f t="shared" si="16"/>
        <v>1900</v>
      </c>
      <c r="G321" s="428"/>
      <c r="H321" s="428"/>
      <c r="I321" s="428"/>
      <c r="J321" s="428"/>
      <c r="K321" s="428"/>
    </row>
    <row r="322" spans="1:11">
      <c r="A322" s="89">
        <f t="shared" si="16"/>
        <v>1900</v>
      </c>
      <c r="G322" s="428"/>
      <c r="H322" s="428"/>
      <c r="I322" s="428"/>
      <c r="J322" s="428"/>
      <c r="K322" s="428"/>
    </row>
    <row r="323" spans="1:11">
      <c r="A323" s="89">
        <f t="shared" si="16"/>
        <v>1900</v>
      </c>
      <c r="G323" s="428"/>
      <c r="H323" s="428"/>
      <c r="I323" s="428"/>
      <c r="J323" s="428"/>
      <c r="K323" s="428"/>
    </row>
    <row r="324" spans="1:11">
      <c r="A324" s="89">
        <f t="shared" si="16"/>
        <v>1900</v>
      </c>
      <c r="G324" s="428"/>
      <c r="H324" s="428"/>
      <c r="I324" s="428"/>
      <c r="J324" s="428"/>
      <c r="K324" s="428"/>
    </row>
    <row r="325" spans="1:11">
      <c r="A325" s="89">
        <f t="shared" si="16"/>
        <v>1900</v>
      </c>
      <c r="G325" s="428"/>
      <c r="H325" s="428"/>
      <c r="I325" s="428"/>
      <c r="J325" s="428"/>
      <c r="K325" s="428"/>
    </row>
    <row r="326" spans="1:11">
      <c r="A326" s="89">
        <f t="shared" si="16"/>
        <v>1900</v>
      </c>
      <c r="G326" s="428"/>
      <c r="H326" s="428"/>
      <c r="I326" s="428"/>
      <c r="J326" s="428"/>
      <c r="K326" s="428"/>
    </row>
    <row r="327" spans="1:11">
      <c r="A327" s="89">
        <f t="shared" si="16"/>
        <v>1900</v>
      </c>
      <c r="G327" s="428"/>
      <c r="H327" s="428"/>
      <c r="I327" s="428"/>
      <c r="J327" s="428"/>
      <c r="K327" s="428"/>
    </row>
    <row r="328" spans="1:11">
      <c r="A328" s="89">
        <f t="shared" si="16"/>
        <v>1900</v>
      </c>
      <c r="G328" s="428"/>
      <c r="H328" s="428"/>
      <c r="I328" s="428"/>
      <c r="J328" s="428"/>
      <c r="K328" s="428"/>
    </row>
    <row r="329" spans="1:11">
      <c r="A329" s="89">
        <f t="shared" ref="A329:A392" si="17">YEAR(B329)</f>
        <v>1900</v>
      </c>
      <c r="G329" s="428"/>
      <c r="H329" s="428"/>
      <c r="I329" s="428"/>
      <c r="J329" s="428"/>
      <c r="K329" s="428"/>
    </row>
    <row r="330" spans="1:11">
      <c r="A330" s="89">
        <f t="shared" si="17"/>
        <v>1900</v>
      </c>
      <c r="G330" s="428"/>
      <c r="H330" s="428"/>
      <c r="I330" s="428"/>
      <c r="J330" s="428"/>
      <c r="K330" s="428"/>
    </row>
    <row r="331" spans="1:11">
      <c r="A331" s="89">
        <f t="shared" si="17"/>
        <v>1900</v>
      </c>
      <c r="G331" s="428"/>
      <c r="H331" s="428"/>
      <c r="I331" s="428"/>
      <c r="J331" s="428"/>
      <c r="K331" s="428"/>
    </row>
    <row r="332" spans="1:11">
      <c r="A332" s="89">
        <f t="shared" si="17"/>
        <v>1900</v>
      </c>
      <c r="G332" s="428"/>
      <c r="H332" s="428"/>
      <c r="I332" s="428"/>
      <c r="J332" s="428"/>
      <c r="K332" s="428"/>
    </row>
    <row r="333" spans="1:11">
      <c r="A333" s="89">
        <f t="shared" si="17"/>
        <v>1900</v>
      </c>
      <c r="G333" s="428"/>
      <c r="H333" s="428"/>
      <c r="I333" s="428"/>
      <c r="J333" s="428"/>
      <c r="K333" s="428"/>
    </row>
    <row r="334" spans="1:11">
      <c r="A334" s="89">
        <f t="shared" si="17"/>
        <v>1900</v>
      </c>
      <c r="G334" s="428"/>
      <c r="H334" s="428"/>
      <c r="I334" s="428"/>
      <c r="J334" s="428"/>
      <c r="K334" s="428"/>
    </row>
    <row r="335" spans="1:11">
      <c r="A335" s="89">
        <f t="shared" si="17"/>
        <v>1900</v>
      </c>
      <c r="G335" s="428"/>
      <c r="H335" s="428"/>
      <c r="I335" s="428"/>
      <c r="J335" s="428"/>
      <c r="K335" s="428"/>
    </row>
    <row r="336" spans="1:11">
      <c r="A336" s="89">
        <f t="shared" si="17"/>
        <v>1900</v>
      </c>
      <c r="G336" s="428"/>
      <c r="H336" s="428"/>
      <c r="I336" s="428"/>
      <c r="J336" s="428"/>
      <c r="K336" s="428"/>
    </row>
    <row r="337" spans="1:11">
      <c r="A337" s="89">
        <f t="shared" si="17"/>
        <v>1900</v>
      </c>
      <c r="G337" s="428"/>
      <c r="H337" s="428"/>
      <c r="I337" s="428"/>
      <c r="J337" s="428"/>
      <c r="K337" s="428"/>
    </row>
    <row r="338" spans="1:11">
      <c r="A338" s="89">
        <f t="shared" si="17"/>
        <v>1900</v>
      </c>
      <c r="G338" s="428"/>
      <c r="H338" s="428"/>
      <c r="I338" s="428"/>
      <c r="J338" s="428"/>
      <c r="K338" s="428"/>
    </row>
    <row r="339" spans="1:11">
      <c r="A339" s="89">
        <f t="shared" si="17"/>
        <v>1900</v>
      </c>
      <c r="G339" s="428"/>
      <c r="H339" s="428"/>
      <c r="I339" s="428"/>
      <c r="J339" s="428"/>
      <c r="K339" s="428"/>
    </row>
    <row r="340" spans="1:11">
      <c r="A340" s="89">
        <f t="shared" si="17"/>
        <v>1900</v>
      </c>
      <c r="G340" s="428"/>
      <c r="H340" s="428"/>
      <c r="I340" s="428"/>
      <c r="J340" s="428"/>
      <c r="K340" s="428"/>
    </row>
    <row r="341" spans="1:11">
      <c r="A341" s="89">
        <f t="shared" si="17"/>
        <v>1900</v>
      </c>
      <c r="G341" s="428"/>
      <c r="H341" s="428"/>
      <c r="I341" s="428"/>
      <c r="J341" s="428"/>
      <c r="K341" s="428"/>
    </row>
    <row r="342" spans="1:11">
      <c r="A342" s="89">
        <f t="shared" si="17"/>
        <v>1900</v>
      </c>
      <c r="G342" s="428"/>
      <c r="H342" s="428"/>
      <c r="I342" s="428"/>
      <c r="J342" s="428"/>
      <c r="K342" s="428"/>
    </row>
    <row r="343" spans="1:11">
      <c r="A343" s="89">
        <f t="shared" si="17"/>
        <v>1900</v>
      </c>
      <c r="G343" s="428"/>
      <c r="H343" s="428"/>
      <c r="I343" s="428"/>
      <c r="J343" s="428"/>
      <c r="K343" s="428"/>
    </row>
    <row r="344" spans="1:11">
      <c r="A344" s="89">
        <f t="shared" si="17"/>
        <v>1900</v>
      </c>
      <c r="G344" s="428"/>
      <c r="H344" s="428"/>
      <c r="I344" s="428"/>
      <c r="J344" s="428"/>
      <c r="K344" s="428"/>
    </row>
    <row r="345" spans="1:11">
      <c r="A345" s="89">
        <f t="shared" si="17"/>
        <v>1900</v>
      </c>
      <c r="G345" s="428"/>
      <c r="H345" s="428"/>
      <c r="I345" s="428"/>
      <c r="J345" s="428"/>
      <c r="K345" s="428"/>
    </row>
    <row r="346" spans="1:11">
      <c r="A346" s="89">
        <f t="shared" si="17"/>
        <v>1900</v>
      </c>
      <c r="G346" s="428"/>
      <c r="H346" s="428"/>
      <c r="I346" s="428"/>
      <c r="J346" s="428"/>
      <c r="K346" s="428"/>
    </row>
    <row r="347" spans="1:11">
      <c r="A347" s="89">
        <f t="shared" si="17"/>
        <v>1900</v>
      </c>
      <c r="G347" s="428"/>
      <c r="H347" s="428"/>
      <c r="I347" s="428"/>
      <c r="J347" s="428"/>
      <c r="K347" s="428"/>
    </row>
    <row r="348" spans="1:11">
      <c r="A348" s="89">
        <f t="shared" si="17"/>
        <v>1900</v>
      </c>
      <c r="G348" s="428"/>
      <c r="H348" s="428"/>
      <c r="I348" s="428"/>
      <c r="J348" s="428"/>
      <c r="K348" s="428"/>
    </row>
    <row r="349" spans="1:11">
      <c r="A349" s="89">
        <f t="shared" si="17"/>
        <v>1900</v>
      </c>
      <c r="G349" s="428"/>
      <c r="H349" s="428"/>
      <c r="I349" s="428"/>
      <c r="J349" s="428"/>
      <c r="K349" s="428"/>
    </row>
    <row r="350" spans="1:11">
      <c r="A350" s="89">
        <f t="shared" si="17"/>
        <v>1900</v>
      </c>
      <c r="G350" s="428"/>
      <c r="H350" s="428"/>
      <c r="I350" s="428"/>
      <c r="J350" s="428"/>
      <c r="K350" s="428"/>
    </row>
    <row r="351" spans="1:11">
      <c r="A351" s="89">
        <f t="shared" si="17"/>
        <v>1900</v>
      </c>
      <c r="G351" s="428"/>
      <c r="H351" s="428"/>
      <c r="I351" s="428"/>
      <c r="J351" s="428"/>
      <c r="K351" s="428"/>
    </row>
    <row r="352" spans="1:11">
      <c r="A352" s="89">
        <f t="shared" si="17"/>
        <v>1900</v>
      </c>
      <c r="G352" s="428"/>
      <c r="H352" s="428"/>
      <c r="I352" s="428"/>
      <c r="J352" s="428"/>
      <c r="K352" s="428"/>
    </row>
    <row r="353" spans="1:11">
      <c r="A353" s="89">
        <f t="shared" si="17"/>
        <v>1900</v>
      </c>
      <c r="G353" s="428"/>
      <c r="H353" s="428"/>
      <c r="I353" s="428"/>
      <c r="J353" s="428"/>
      <c r="K353" s="428"/>
    </row>
    <row r="354" spans="1:11">
      <c r="A354" s="89">
        <f t="shared" si="17"/>
        <v>1900</v>
      </c>
      <c r="G354" s="428"/>
      <c r="H354" s="428"/>
      <c r="I354" s="428"/>
      <c r="J354" s="428"/>
      <c r="K354" s="428"/>
    </row>
    <row r="355" spans="1:11">
      <c r="A355" s="89">
        <f t="shared" si="17"/>
        <v>1900</v>
      </c>
      <c r="G355" s="428"/>
      <c r="H355" s="428"/>
      <c r="I355" s="428"/>
      <c r="J355" s="428"/>
      <c r="K355" s="428"/>
    </row>
    <row r="356" spans="1:11">
      <c r="A356" s="89">
        <f t="shared" si="17"/>
        <v>1900</v>
      </c>
      <c r="G356" s="428"/>
      <c r="H356" s="428"/>
      <c r="I356" s="428"/>
      <c r="J356" s="428"/>
      <c r="K356" s="428"/>
    </row>
    <row r="357" spans="1:11">
      <c r="A357" s="89">
        <f t="shared" si="17"/>
        <v>1900</v>
      </c>
      <c r="G357" s="428"/>
      <c r="H357" s="428"/>
      <c r="I357" s="428"/>
      <c r="J357" s="428"/>
      <c r="K357" s="428"/>
    </row>
    <row r="358" spans="1:11">
      <c r="A358" s="89">
        <f t="shared" si="17"/>
        <v>1900</v>
      </c>
      <c r="G358" s="428"/>
      <c r="H358" s="428"/>
      <c r="I358" s="428"/>
      <c r="J358" s="428"/>
      <c r="K358" s="428"/>
    </row>
    <row r="359" spans="1:11">
      <c r="A359" s="89">
        <f t="shared" si="17"/>
        <v>1900</v>
      </c>
      <c r="G359" s="428"/>
      <c r="H359" s="428"/>
      <c r="I359" s="428"/>
      <c r="J359" s="428"/>
      <c r="K359" s="428"/>
    </row>
    <row r="360" spans="1:11">
      <c r="A360" s="89">
        <f t="shared" si="17"/>
        <v>1900</v>
      </c>
      <c r="G360" s="428"/>
      <c r="H360" s="428"/>
      <c r="I360" s="428"/>
      <c r="J360" s="428"/>
      <c r="K360" s="428"/>
    </row>
    <row r="361" spans="1:11">
      <c r="A361" s="89">
        <f t="shared" si="17"/>
        <v>1900</v>
      </c>
      <c r="G361" s="428"/>
      <c r="H361" s="428"/>
      <c r="I361" s="428"/>
      <c r="J361" s="428"/>
      <c r="K361" s="428"/>
    </row>
    <row r="362" spans="1:11">
      <c r="A362" s="89">
        <f t="shared" si="17"/>
        <v>1900</v>
      </c>
      <c r="G362" s="428"/>
      <c r="H362" s="428"/>
      <c r="I362" s="428"/>
      <c r="J362" s="428"/>
      <c r="K362" s="428"/>
    </row>
    <row r="363" spans="1:11">
      <c r="A363" s="89">
        <f t="shared" si="17"/>
        <v>1900</v>
      </c>
      <c r="G363" s="428"/>
      <c r="H363" s="428"/>
      <c r="I363" s="428"/>
      <c r="J363" s="428"/>
      <c r="K363" s="428"/>
    </row>
    <row r="364" spans="1:11">
      <c r="A364" s="89">
        <f t="shared" si="17"/>
        <v>1900</v>
      </c>
      <c r="G364" s="428"/>
      <c r="H364" s="428"/>
      <c r="I364" s="428"/>
      <c r="J364" s="428"/>
      <c r="K364" s="428"/>
    </row>
    <row r="365" spans="1:11">
      <c r="A365" s="89">
        <f t="shared" si="17"/>
        <v>1900</v>
      </c>
      <c r="G365" s="428"/>
      <c r="H365" s="428"/>
      <c r="I365" s="428"/>
      <c r="J365" s="428"/>
      <c r="K365" s="428"/>
    </row>
    <row r="366" spans="1:11">
      <c r="A366" s="89">
        <f t="shared" si="17"/>
        <v>1900</v>
      </c>
      <c r="G366" s="428"/>
      <c r="H366" s="428"/>
      <c r="I366" s="428"/>
      <c r="J366" s="428"/>
      <c r="K366" s="428"/>
    </row>
    <row r="367" spans="1:11">
      <c r="A367" s="89">
        <f t="shared" si="17"/>
        <v>1900</v>
      </c>
      <c r="G367" s="428"/>
      <c r="H367" s="428"/>
      <c r="I367" s="428"/>
      <c r="J367" s="428"/>
      <c r="K367" s="428"/>
    </row>
    <row r="368" spans="1:11">
      <c r="A368" s="89">
        <f t="shared" si="17"/>
        <v>1900</v>
      </c>
      <c r="G368" s="428"/>
      <c r="H368" s="428"/>
      <c r="I368" s="428"/>
      <c r="J368" s="428"/>
      <c r="K368" s="428"/>
    </row>
    <row r="369" spans="1:11">
      <c r="A369" s="89">
        <f t="shared" si="17"/>
        <v>1900</v>
      </c>
      <c r="G369" s="428"/>
      <c r="H369" s="428"/>
      <c r="I369" s="428"/>
      <c r="J369" s="428"/>
      <c r="K369" s="428"/>
    </row>
    <row r="370" spans="1:11">
      <c r="A370" s="89">
        <f t="shared" si="17"/>
        <v>1900</v>
      </c>
      <c r="G370" s="428"/>
      <c r="H370" s="428"/>
      <c r="I370" s="428"/>
      <c r="J370" s="428"/>
      <c r="K370" s="428"/>
    </row>
    <row r="371" spans="1:11">
      <c r="A371" s="89">
        <f t="shared" si="17"/>
        <v>1900</v>
      </c>
      <c r="G371" s="428"/>
      <c r="H371" s="428"/>
      <c r="I371" s="428"/>
      <c r="J371" s="428"/>
      <c r="K371" s="428"/>
    </row>
    <row r="372" spans="1:11">
      <c r="A372" s="89">
        <f t="shared" si="17"/>
        <v>1900</v>
      </c>
      <c r="G372" s="428"/>
      <c r="H372" s="428"/>
      <c r="I372" s="428"/>
      <c r="J372" s="428"/>
      <c r="K372" s="428"/>
    </row>
    <row r="373" spans="1:11">
      <c r="A373" s="89">
        <f t="shared" si="17"/>
        <v>1900</v>
      </c>
      <c r="G373" s="428"/>
      <c r="H373" s="428"/>
      <c r="I373" s="428"/>
      <c r="J373" s="428"/>
      <c r="K373" s="428"/>
    </row>
    <row r="374" spans="1:11">
      <c r="A374" s="89">
        <f t="shared" si="17"/>
        <v>1900</v>
      </c>
      <c r="G374" s="428"/>
      <c r="H374" s="428"/>
      <c r="I374" s="428"/>
      <c r="J374" s="428"/>
      <c r="K374" s="428"/>
    </row>
    <row r="375" spans="1:11">
      <c r="A375" s="89">
        <f t="shared" si="17"/>
        <v>1900</v>
      </c>
      <c r="G375" s="428"/>
      <c r="H375" s="428"/>
      <c r="I375" s="428"/>
      <c r="J375" s="428"/>
      <c r="K375" s="428"/>
    </row>
    <row r="376" spans="1:11">
      <c r="A376" s="89">
        <f t="shared" si="17"/>
        <v>1900</v>
      </c>
      <c r="G376" s="428"/>
      <c r="H376" s="428"/>
      <c r="I376" s="428"/>
      <c r="J376" s="428"/>
      <c r="K376" s="428"/>
    </row>
    <row r="377" spans="1:11">
      <c r="A377" s="89">
        <f t="shared" si="17"/>
        <v>1900</v>
      </c>
      <c r="G377" s="428"/>
      <c r="H377" s="428"/>
      <c r="I377" s="428"/>
      <c r="J377" s="428"/>
      <c r="K377" s="428"/>
    </row>
    <row r="378" spans="1:11">
      <c r="A378" s="89">
        <f t="shared" si="17"/>
        <v>1900</v>
      </c>
      <c r="G378" s="428"/>
      <c r="H378" s="428"/>
      <c r="I378" s="428"/>
      <c r="J378" s="428"/>
      <c r="K378" s="428"/>
    </row>
    <row r="379" spans="1:11">
      <c r="A379" s="89">
        <f t="shared" si="17"/>
        <v>1900</v>
      </c>
      <c r="G379" s="428"/>
      <c r="H379" s="428"/>
      <c r="I379" s="428"/>
      <c r="J379" s="428"/>
      <c r="K379" s="428"/>
    </row>
    <row r="380" spans="1:11">
      <c r="A380" s="89">
        <f t="shared" si="17"/>
        <v>1900</v>
      </c>
      <c r="G380" s="428"/>
      <c r="H380" s="428"/>
      <c r="I380" s="428"/>
      <c r="J380" s="428"/>
      <c r="K380" s="428"/>
    </row>
    <row r="381" spans="1:11">
      <c r="A381" s="89">
        <f t="shared" si="17"/>
        <v>1900</v>
      </c>
      <c r="G381" s="428"/>
      <c r="H381" s="428"/>
      <c r="I381" s="428"/>
      <c r="J381" s="428"/>
      <c r="K381" s="428"/>
    </row>
    <row r="382" spans="1:11">
      <c r="A382" s="89">
        <f t="shared" si="17"/>
        <v>1900</v>
      </c>
      <c r="G382" s="428"/>
      <c r="H382" s="428"/>
      <c r="I382" s="428"/>
      <c r="J382" s="428"/>
      <c r="K382" s="428"/>
    </row>
    <row r="383" spans="1:11">
      <c r="A383" s="89">
        <f t="shared" si="17"/>
        <v>1900</v>
      </c>
      <c r="G383" s="428"/>
      <c r="H383" s="428"/>
      <c r="I383" s="428"/>
      <c r="J383" s="428"/>
      <c r="K383" s="428"/>
    </row>
    <row r="384" spans="1:11">
      <c r="A384" s="89">
        <f t="shared" si="17"/>
        <v>1900</v>
      </c>
      <c r="G384" s="428"/>
      <c r="H384" s="428"/>
      <c r="I384" s="428"/>
      <c r="J384" s="428"/>
      <c r="K384" s="428"/>
    </row>
    <row r="385" spans="1:11">
      <c r="A385" s="89">
        <f t="shared" si="17"/>
        <v>1900</v>
      </c>
      <c r="G385" s="428"/>
      <c r="H385" s="428"/>
      <c r="I385" s="428"/>
      <c r="J385" s="428"/>
      <c r="K385" s="428"/>
    </row>
    <row r="386" spans="1:11">
      <c r="A386" s="89">
        <f t="shared" si="17"/>
        <v>1900</v>
      </c>
      <c r="G386" s="428"/>
      <c r="H386" s="428"/>
      <c r="I386" s="428"/>
      <c r="J386" s="428"/>
      <c r="K386" s="428"/>
    </row>
    <row r="387" spans="1:11">
      <c r="A387" s="89">
        <f t="shared" si="17"/>
        <v>1900</v>
      </c>
      <c r="G387" s="428"/>
      <c r="H387" s="428"/>
      <c r="I387" s="428"/>
      <c r="J387" s="428"/>
      <c r="K387" s="428"/>
    </row>
    <row r="388" spans="1:11">
      <c r="A388" s="89">
        <f t="shared" si="17"/>
        <v>1900</v>
      </c>
      <c r="G388" s="428"/>
      <c r="H388" s="428"/>
      <c r="I388" s="428"/>
      <c r="J388" s="428"/>
      <c r="K388" s="428"/>
    </row>
    <row r="389" spans="1:11">
      <c r="A389" s="89">
        <f t="shared" si="17"/>
        <v>1900</v>
      </c>
      <c r="G389" s="428"/>
      <c r="H389" s="428"/>
      <c r="I389" s="428"/>
      <c r="J389" s="428"/>
      <c r="K389" s="428"/>
    </row>
    <row r="390" spans="1:11">
      <c r="A390" s="89">
        <f t="shared" si="17"/>
        <v>1900</v>
      </c>
      <c r="G390" s="428"/>
      <c r="H390" s="428"/>
      <c r="I390" s="428"/>
      <c r="J390" s="428"/>
      <c r="K390" s="428"/>
    </row>
    <row r="391" spans="1:11">
      <c r="A391" s="89">
        <f t="shared" si="17"/>
        <v>1900</v>
      </c>
      <c r="G391" s="428"/>
      <c r="H391" s="428"/>
      <c r="I391" s="428"/>
      <c r="J391" s="428"/>
      <c r="K391" s="428"/>
    </row>
    <row r="392" spans="1:11">
      <c r="A392" s="89">
        <f t="shared" si="17"/>
        <v>1900</v>
      </c>
      <c r="G392" s="428"/>
      <c r="H392" s="428"/>
      <c r="I392" s="428"/>
      <c r="J392" s="428"/>
      <c r="K392" s="428"/>
    </row>
    <row r="393" spans="1:11">
      <c r="A393" s="89">
        <f t="shared" ref="A393:A456" si="18">YEAR(B393)</f>
        <v>1900</v>
      </c>
      <c r="G393" s="428"/>
      <c r="H393" s="428"/>
      <c r="I393" s="428"/>
      <c r="J393" s="428"/>
      <c r="K393" s="428"/>
    </row>
    <row r="394" spans="1:11">
      <c r="A394" s="89">
        <f t="shared" si="18"/>
        <v>1900</v>
      </c>
      <c r="G394" s="428"/>
      <c r="H394" s="428"/>
      <c r="I394" s="428"/>
      <c r="J394" s="428"/>
      <c r="K394" s="428"/>
    </row>
    <row r="395" spans="1:11">
      <c r="A395" s="89">
        <f t="shared" si="18"/>
        <v>1900</v>
      </c>
      <c r="G395" s="428"/>
      <c r="H395" s="428"/>
      <c r="I395" s="428"/>
      <c r="J395" s="428"/>
      <c r="K395" s="428"/>
    </row>
    <row r="396" spans="1:11">
      <c r="A396" s="89">
        <f t="shared" si="18"/>
        <v>1900</v>
      </c>
      <c r="G396" s="428"/>
      <c r="H396" s="428"/>
      <c r="I396" s="428"/>
      <c r="J396" s="428"/>
      <c r="K396" s="428"/>
    </row>
    <row r="397" spans="1:11">
      <c r="A397" s="89">
        <f t="shared" si="18"/>
        <v>1900</v>
      </c>
      <c r="G397" s="428"/>
      <c r="H397" s="428"/>
      <c r="I397" s="428"/>
      <c r="J397" s="428"/>
      <c r="K397" s="428"/>
    </row>
    <row r="398" spans="1:11">
      <c r="A398" s="89">
        <f t="shared" si="18"/>
        <v>1900</v>
      </c>
      <c r="G398" s="428"/>
      <c r="H398" s="428"/>
      <c r="I398" s="428"/>
      <c r="J398" s="428"/>
      <c r="K398" s="428"/>
    </row>
    <row r="399" spans="1:11">
      <c r="A399" s="89">
        <f t="shared" si="18"/>
        <v>1900</v>
      </c>
      <c r="G399" s="428"/>
      <c r="H399" s="428"/>
      <c r="I399" s="428"/>
      <c r="J399" s="428"/>
      <c r="K399" s="428"/>
    </row>
    <row r="400" spans="1:11">
      <c r="A400" s="89">
        <f t="shared" si="18"/>
        <v>1900</v>
      </c>
      <c r="G400" s="428"/>
      <c r="H400" s="428"/>
      <c r="I400" s="428"/>
      <c r="J400" s="428"/>
      <c r="K400" s="428"/>
    </row>
    <row r="401" spans="1:11">
      <c r="A401" s="89">
        <f t="shared" si="18"/>
        <v>1900</v>
      </c>
      <c r="G401" s="428"/>
      <c r="H401" s="428"/>
      <c r="I401" s="428"/>
      <c r="J401" s="428"/>
      <c r="K401" s="428"/>
    </row>
    <row r="402" spans="1:11">
      <c r="A402" s="89">
        <f t="shared" si="18"/>
        <v>1900</v>
      </c>
      <c r="G402" s="428"/>
      <c r="H402" s="428"/>
      <c r="I402" s="428"/>
      <c r="J402" s="428"/>
      <c r="K402" s="428"/>
    </row>
    <row r="403" spans="1:11">
      <c r="A403" s="89">
        <f t="shared" si="18"/>
        <v>1900</v>
      </c>
      <c r="G403" s="428"/>
      <c r="H403" s="428"/>
      <c r="I403" s="428"/>
      <c r="J403" s="428"/>
      <c r="K403" s="428"/>
    </row>
    <row r="404" spans="1:11">
      <c r="A404" s="89">
        <f t="shared" si="18"/>
        <v>1900</v>
      </c>
      <c r="G404" s="428"/>
      <c r="H404" s="428"/>
      <c r="I404" s="428"/>
      <c r="J404" s="428"/>
      <c r="K404" s="428"/>
    </row>
    <row r="405" spans="1:11">
      <c r="A405" s="89">
        <f t="shared" si="18"/>
        <v>1900</v>
      </c>
      <c r="G405" s="428"/>
      <c r="H405" s="428"/>
      <c r="I405" s="428"/>
      <c r="J405" s="428"/>
      <c r="K405" s="428"/>
    </row>
    <row r="406" spans="1:11">
      <c r="A406" s="89">
        <f t="shared" si="18"/>
        <v>1900</v>
      </c>
      <c r="G406" s="428"/>
      <c r="H406" s="428"/>
      <c r="I406" s="428"/>
      <c r="J406" s="428"/>
      <c r="K406" s="428"/>
    </row>
    <row r="407" spans="1:11">
      <c r="A407" s="89">
        <f t="shared" si="18"/>
        <v>1900</v>
      </c>
      <c r="G407" s="428"/>
      <c r="H407" s="428"/>
      <c r="I407" s="428"/>
      <c r="J407" s="428"/>
      <c r="K407" s="428"/>
    </row>
    <row r="408" spans="1:11">
      <c r="A408" s="89">
        <f t="shared" si="18"/>
        <v>1900</v>
      </c>
      <c r="G408" s="428"/>
      <c r="H408" s="428"/>
      <c r="I408" s="428"/>
      <c r="J408" s="428"/>
      <c r="K408" s="428"/>
    </row>
    <row r="409" spans="1:11">
      <c r="A409" s="89">
        <f t="shared" si="18"/>
        <v>1900</v>
      </c>
      <c r="G409" s="428"/>
      <c r="H409" s="428"/>
      <c r="I409" s="428"/>
      <c r="J409" s="428"/>
      <c r="K409" s="428"/>
    </row>
    <row r="410" spans="1:11">
      <c r="A410" s="89">
        <f t="shared" si="18"/>
        <v>1900</v>
      </c>
      <c r="G410" s="428"/>
      <c r="H410" s="428"/>
      <c r="I410" s="428"/>
      <c r="J410" s="428"/>
      <c r="K410" s="428"/>
    </row>
    <row r="411" spans="1:11">
      <c r="A411" s="89">
        <f t="shared" si="18"/>
        <v>1900</v>
      </c>
      <c r="G411" s="428"/>
      <c r="H411" s="428"/>
      <c r="I411" s="428"/>
      <c r="J411" s="428"/>
      <c r="K411" s="428"/>
    </row>
    <row r="412" spans="1:11">
      <c r="A412" s="89">
        <f t="shared" si="18"/>
        <v>1900</v>
      </c>
      <c r="G412" s="428"/>
      <c r="H412" s="428"/>
      <c r="I412" s="428"/>
      <c r="J412" s="428"/>
      <c r="K412" s="428"/>
    </row>
    <row r="413" spans="1:11">
      <c r="A413" s="89">
        <f t="shared" si="18"/>
        <v>1900</v>
      </c>
      <c r="G413" s="428"/>
      <c r="H413" s="428"/>
      <c r="I413" s="428"/>
      <c r="J413" s="428"/>
      <c r="K413" s="428"/>
    </row>
    <row r="414" spans="1:11">
      <c r="A414" s="89">
        <f t="shared" si="18"/>
        <v>1900</v>
      </c>
      <c r="G414" s="428"/>
      <c r="H414" s="428"/>
      <c r="I414" s="428"/>
      <c r="J414" s="428"/>
      <c r="K414" s="428"/>
    </row>
    <row r="415" spans="1:11">
      <c r="A415" s="89">
        <f t="shared" si="18"/>
        <v>1900</v>
      </c>
      <c r="G415" s="428"/>
      <c r="H415" s="428"/>
      <c r="I415" s="428"/>
      <c r="J415" s="428"/>
      <c r="K415" s="428"/>
    </row>
    <row r="416" spans="1:11">
      <c r="A416" s="89">
        <f t="shared" si="18"/>
        <v>1900</v>
      </c>
      <c r="G416" s="428"/>
      <c r="H416" s="428"/>
      <c r="I416" s="428"/>
      <c r="J416" s="428"/>
      <c r="K416" s="428"/>
    </row>
    <row r="417" spans="1:11">
      <c r="A417" s="89">
        <f t="shared" si="18"/>
        <v>1900</v>
      </c>
      <c r="G417" s="428"/>
      <c r="H417" s="428"/>
      <c r="I417" s="428"/>
      <c r="J417" s="428"/>
      <c r="K417" s="428"/>
    </row>
    <row r="418" spans="1:11">
      <c r="A418" s="89">
        <f t="shared" si="18"/>
        <v>1900</v>
      </c>
      <c r="G418" s="428"/>
      <c r="H418" s="428"/>
      <c r="I418" s="428"/>
      <c r="J418" s="428"/>
      <c r="K418" s="428"/>
    </row>
    <row r="419" spans="1:11">
      <c r="A419" s="89">
        <f t="shared" si="18"/>
        <v>1900</v>
      </c>
      <c r="G419" s="428"/>
      <c r="H419" s="428"/>
      <c r="I419" s="428"/>
      <c r="J419" s="428"/>
      <c r="K419" s="428"/>
    </row>
    <row r="420" spans="1:11">
      <c r="A420" s="89">
        <f t="shared" si="18"/>
        <v>1900</v>
      </c>
      <c r="G420" s="428"/>
      <c r="H420" s="428"/>
      <c r="I420" s="428"/>
      <c r="J420" s="428"/>
      <c r="K420" s="428"/>
    </row>
    <row r="421" spans="1:11">
      <c r="A421" s="89">
        <f t="shared" si="18"/>
        <v>1900</v>
      </c>
      <c r="G421" s="428"/>
      <c r="H421" s="428"/>
      <c r="I421" s="428"/>
      <c r="J421" s="428"/>
      <c r="K421" s="428"/>
    </row>
    <row r="422" spans="1:11">
      <c r="A422" s="89">
        <f t="shared" si="18"/>
        <v>1900</v>
      </c>
      <c r="G422" s="428"/>
      <c r="H422" s="428"/>
      <c r="I422" s="428"/>
      <c r="J422" s="428"/>
      <c r="K422" s="428"/>
    </row>
    <row r="423" spans="1:11">
      <c r="A423" s="89">
        <f t="shared" si="18"/>
        <v>1900</v>
      </c>
      <c r="G423" s="428"/>
      <c r="H423" s="428"/>
      <c r="I423" s="428"/>
      <c r="J423" s="428"/>
      <c r="K423" s="428"/>
    </row>
    <row r="424" spans="1:11">
      <c r="A424" s="89">
        <f t="shared" si="18"/>
        <v>1900</v>
      </c>
      <c r="G424" s="428"/>
      <c r="H424" s="428"/>
      <c r="I424" s="428"/>
      <c r="J424" s="428"/>
      <c r="K424" s="428"/>
    </row>
    <row r="425" spans="1:11">
      <c r="A425" s="89">
        <f t="shared" si="18"/>
        <v>1900</v>
      </c>
      <c r="G425" s="428"/>
      <c r="H425" s="428"/>
      <c r="I425" s="428"/>
      <c r="J425" s="428"/>
      <c r="K425" s="428"/>
    </row>
    <row r="426" spans="1:11">
      <c r="A426" s="89">
        <f t="shared" si="18"/>
        <v>1900</v>
      </c>
      <c r="G426" s="428"/>
      <c r="H426" s="428"/>
      <c r="I426" s="428"/>
      <c r="J426" s="428"/>
      <c r="K426" s="428"/>
    </row>
    <row r="427" spans="1:11">
      <c r="A427" s="89">
        <f t="shared" si="18"/>
        <v>1900</v>
      </c>
      <c r="G427" s="428"/>
      <c r="H427" s="428"/>
      <c r="I427" s="428"/>
      <c r="J427" s="428"/>
      <c r="K427" s="428"/>
    </row>
    <row r="428" spans="1:11">
      <c r="A428" s="89">
        <f t="shared" si="18"/>
        <v>1900</v>
      </c>
      <c r="G428" s="428"/>
      <c r="H428" s="428"/>
      <c r="I428" s="428"/>
      <c r="J428" s="428"/>
      <c r="K428" s="428"/>
    </row>
    <row r="429" spans="1:11">
      <c r="A429" s="89">
        <f t="shared" si="18"/>
        <v>1900</v>
      </c>
      <c r="G429" s="428"/>
      <c r="H429" s="428"/>
      <c r="I429" s="428"/>
      <c r="J429" s="428"/>
      <c r="K429" s="428"/>
    </row>
    <row r="430" spans="1:11">
      <c r="A430" s="89">
        <f t="shared" si="18"/>
        <v>1900</v>
      </c>
      <c r="G430" s="428"/>
      <c r="H430" s="428"/>
      <c r="I430" s="428"/>
      <c r="J430" s="428"/>
      <c r="K430" s="428"/>
    </row>
    <row r="431" spans="1:11">
      <c r="A431" s="89">
        <f t="shared" si="18"/>
        <v>1900</v>
      </c>
      <c r="G431" s="428"/>
      <c r="H431" s="428"/>
      <c r="I431" s="428"/>
      <c r="J431" s="428"/>
      <c r="K431" s="428"/>
    </row>
    <row r="432" spans="1:11">
      <c r="A432" s="89">
        <f t="shared" si="18"/>
        <v>1900</v>
      </c>
      <c r="G432" s="428"/>
      <c r="H432" s="428"/>
      <c r="I432" s="428"/>
      <c r="J432" s="428"/>
      <c r="K432" s="428"/>
    </row>
    <row r="433" spans="1:11">
      <c r="A433" s="89">
        <f t="shared" si="18"/>
        <v>1900</v>
      </c>
      <c r="G433" s="428"/>
      <c r="H433" s="428"/>
      <c r="I433" s="428"/>
      <c r="J433" s="428"/>
      <c r="K433" s="428"/>
    </row>
    <row r="434" spans="1:11">
      <c r="A434" s="89">
        <f t="shared" si="18"/>
        <v>1900</v>
      </c>
      <c r="G434" s="428"/>
      <c r="H434" s="428"/>
      <c r="I434" s="428"/>
      <c r="J434" s="428"/>
      <c r="K434" s="428"/>
    </row>
    <row r="435" spans="1:11">
      <c r="A435" s="89">
        <f t="shared" si="18"/>
        <v>1900</v>
      </c>
      <c r="G435" s="428"/>
      <c r="H435" s="428"/>
      <c r="I435" s="428"/>
      <c r="J435" s="428"/>
      <c r="K435" s="428"/>
    </row>
    <row r="436" spans="1:11">
      <c r="A436" s="89">
        <f t="shared" si="18"/>
        <v>1900</v>
      </c>
      <c r="G436" s="428"/>
      <c r="H436" s="428"/>
      <c r="I436" s="428"/>
      <c r="J436" s="428"/>
      <c r="K436" s="428"/>
    </row>
    <row r="437" spans="1:11">
      <c r="A437" s="89">
        <f t="shared" si="18"/>
        <v>1900</v>
      </c>
      <c r="G437" s="428"/>
      <c r="H437" s="428"/>
      <c r="I437" s="428"/>
      <c r="J437" s="428"/>
      <c r="K437" s="428"/>
    </row>
    <row r="438" spans="1:11">
      <c r="A438" s="89">
        <f t="shared" si="18"/>
        <v>1900</v>
      </c>
      <c r="G438" s="428"/>
      <c r="H438" s="428"/>
      <c r="I438" s="428"/>
      <c r="J438" s="428"/>
      <c r="K438" s="428"/>
    </row>
    <row r="439" spans="1:11">
      <c r="A439" s="89">
        <f t="shared" si="18"/>
        <v>1900</v>
      </c>
      <c r="G439" s="428"/>
      <c r="H439" s="428"/>
      <c r="I439" s="428"/>
      <c r="J439" s="428"/>
      <c r="K439" s="428"/>
    </row>
    <row r="440" spans="1:11">
      <c r="A440" s="89">
        <f t="shared" si="18"/>
        <v>1900</v>
      </c>
      <c r="G440" s="428"/>
      <c r="H440" s="428"/>
      <c r="I440" s="428"/>
      <c r="J440" s="428"/>
      <c r="K440" s="428"/>
    </row>
    <row r="441" spans="1:11">
      <c r="A441" s="89">
        <f t="shared" si="18"/>
        <v>1900</v>
      </c>
      <c r="G441" s="428"/>
      <c r="H441" s="428"/>
      <c r="I441" s="428"/>
      <c r="J441" s="428"/>
      <c r="K441" s="428"/>
    </row>
    <row r="442" spans="1:11">
      <c r="A442" s="89">
        <f t="shared" si="18"/>
        <v>1900</v>
      </c>
      <c r="G442" s="428"/>
      <c r="H442" s="428"/>
      <c r="I442" s="428"/>
      <c r="J442" s="428"/>
      <c r="K442" s="428"/>
    </row>
    <row r="443" spans="1:11">
      <c r="A443" s="89">
        <f t="shared" si="18"/>
        <v>1900</v>
      </c>
      <c r="G443" s="428"/>
      <c r="H443" s="428"/>
      <c r="I443" s="428"/>
      <c r="J443" s="428"/>
      <c r="K443" s="428"/>
    </row>
    <row r="444" spans="1:11">
      <c r="A444" s="89">
        <f t="shared" si="18"/>
        <v>1900</v>
      </c>
      <c r="G444" s="428"/>
      <c r="H444" s="428"/>
      <c r="I444" s="428"/>
      <c r="J444" s="428"/>
      <c r="K444" s="428"/>
    </row>
    <row r="445" spans="1:11">
      <c r="A445" s="89">
        <f t="shared" si="18"/>
        <v>1900</v>
      </c>
      <c r="G445" s="428"/>
      <c r="H445" s="428"/>
      <c r="I445" s="428"/>
      <c r="J445" s="428"/>
      <c r="K445" s="428"/>
    </row>
    <row r="446" spans="1:11">
      <c r="A446" s="89">
        <f t="shared" si="18"/>
        <v>1900</v>
      </c>
      <c r="G446" s="428"/>
      <c r="H446" s="428"/>
      <c r="I446" s="428"/>
      <c r="J446" s="428"/>
      <c r="K446" s="428"/>
    </row>
    <row r="447" spans="1:11">
      <c r="A447" s="89">
        <f t="shared" si="18"/>
        <v>1900</v>
      </c>
      <c r="G447" s="428"/>
      <c r="H447" s="428"/>
      <c r="I447" s="428"/>
      <c r="J447" s="428"/>
      <c r="K447" s="428"/>
    </row>
    <row r="448" spans="1:11">
      <c r="A448" s="89">
        <f t="shared" si="18"/>
        <v>1900</v>
      </c>
      <c r="G448" s="428"/>
      <c r="H448" s="428"/>
      <c r="I448" s="428"/>
      <c r="J448" s="428"/>
      <c r="K448" s="428"/>
    </row>
    <row r="449" spans="1:11">
      <c r="A449" s="89">
        <f t="shared" si="18"/>
        <v>1900</v>
      </c>
      <c r="G449" s="428"/>
      <c r="H449" s="428"/>
      <c r="I449" s="428"/>
      <c r="J449" s="428"/>
      <c r="K449" s="428"/>
    </row>
    <row r="450" spans="1:11">
      <c r="A450" s="89">
        <f t="shared" si="18"/>
        <v>1900</v>
      </c>
      <c r="G450" s="428"/>
      <c r="H450" s="428"/>
      <c r="I450" s="428"/>
      <c r="J450" s="428"/>
      <c r="K450" s="428"/>
    </row>
    <row r="451" spans="1:11">
      <c r="A451" s="89">
        <f t="shared" si="18"/>
        <v>1900</v>
      </c>
      <c r="G451" s="428"/>
      <c r="H451" s="428"/>
      <c r="I451" s="428"/>
      <c r="J451" s="428"/>
      <c r="K451" s="428"/>
    </row>
    <row r="452" spans="1:11">
      <c r="A452" s="89">
        <f t="shared" si="18"/>
        <v>1900</v>
      </c>
      <c r="G452" s="428"/>
      <c r="H452" s="428"/>
      <c r="I452" s="428"/>
      <c r="J452" s="428"/>
      <c r="K452" s="428"/>
    </row>
    <row r="453" spans="1:11">
      <c r="A453" s="89">
        <f t="shared" si="18"/>
        <v>1900</v>
      </c>
      <c r="G453" s="428"/>
      <c r="H453" s="428"/>
      <c r="I453" s="428"/>
      <c r="J453" s="428"/>
      <c r="K453" s="428"/>
    </row>
    <row r="454" spans="1:11">
      <c r="A454" s="89">
        <f t="shared" si="18"/>
        <v>1900</v>
      </c>
      <c r="G454" s="428"/>
      <c r="H454" s="428"/>
      <c r="I454" s="428"/>
      <c r="J454" s="428"/>
      <c r="K454" s="428"/>
    </row>
    <row r="455" spans="1:11">
      <c r="A455" s="89">
        <f t="shared" si="18"/>
        <v>1900</v>
      </c>
      <c r="G455" s="428"/>
      <c r="H455" s="428"/>
      <c r="I455" s="428"/>
      <c r="J455" s="428"/>
      <c r="K455" s="428"/>
    </row>
    <row r="456" spans="1:11">
      <c r="A456" s="89">
        <f t="shared" si="18"/>
        <v>1900</v>
      </c>
      <c r="G456" s="428"/>
      <c r="H456" s="428"/>
      <c r="I456" s="428"/>
      <c r="J456" s="428"/>
      <c r="K456" s="428"/>
    </row>
    <row r="457" spans="1:11">
      <c r="A457" s="89">
        <f t="shared" ref="A457:A509" si="19">YEAR(B457)</f>
        <v>1900</v>
      </c>
      <c r="G457" s="428"/>
      <c r="H457" s="428"/>
      <c r="I457" s="428"/>
      <c r="J457" s="428"/>
      <c r="K457" s="428"/>
    </row>
    <row r="458" spans="1:11">
      <c r="A458" s="89">
        <f t="shared" si="19"/>
        <v>1900</v>
      </c>
      <c r="G458" s="428"/>
      <c r="H458" s="428"/>
      <c r="I458" s="428"/>
      <c r="J458" s="428"/>
      <c r="K458" s="428"/>
    </row>
    <row r="459" spans="1:11">
      <c r="A459" s="89">
        <f t="shared" si="19"/>
        <v>1900</v>
      </c>
      <c r="G459" s="428"/>
      <c r="H459" s="428"/>
      <c r="I459" s="428"/>
      <c r="J459" s="428"/>
      <c r="K459" s="428"/>
    </row>
    <row r="460" spans="1:11">
      <c r="A460" s="89">
        <f t="shared" si="19"/>
        <v>1900</v>
      </c>
      <c r="G460" s="428"/>
      <c r="H460" s="428"/>
      <c r="I460" s="428"/>
      <c r="J460" s="428"/>
      <c r="K460" s="428"/>
    </row>
    <row r="461" spans="1:11">
      <c r="A461" s="89">
        <f t="shared" si="19"/>
        <v>1900</v>
      </c>
      <c r="G461" s="428"/>
      <c r="H461" s="428"/>
      <c r="I461" s="428"/>
      <c r="J461" s="428"/>
      <c r="K461" s="428"/>
    </row>
    <row r="462" spans="1:11">
      <c r="A462" s="89">
        <f t="shared" si="19"/>
        <v>1900</v>
      </c>
      <c r="G462" s="428"/>
      <c r="H462" s="428"/>
      <c r="I462" s="428"/>
      <c r="J462" s="428"/>
      <c r="K462" s="428"/>
    </row>
    <row r="463" spans="1:11">
      <c r="A463" s="89">
        <f t="shared" si="19"/>
        <v>1900</v>
      </c>
      <c r="G463" s="428"/>
      <c r="H463" s="428"/>
      <c r="I463" s="428"/>
      <c r="J463" s="428"/>
      <c r="K463" s="428"/>
    </row>
    <row r="464" spans="1:11">
      <c r="A464" s="89">
        <f t="shared" si="19"/>
        <v>1900</v>
      </c>
      <c r="G464" s="428"/>
      <c r="H464" s="428"/>
      <c r="I464" s="428"/>
      <c r="J464" s="428"/>
      <c r="K464" s="428"/>
    </row>
    <row r="465" spans="1:11">
      <c r="A465" s="89">
        <f t="shared" si="19"/>
        <v>1900</v>
      </c>
      <c r="G465" s="428"/>
      <c r="H465" s="428"/>
      <c r="I465" s="428"/>
      <c r="J465" s="428"/>
      <c r="K465" s="428"/>
    </row>
    <row r="466" spans="1:11">
      <c r="A466" s="89">
        <f t="shared" si="19"/>
        <v>1900</v>
      </c>
      <c r="G466" s="428"/>
      <c r="H466" s="428"/>
      <c r="I466" s="428"/>
      <c r="J466" s="428"/>
      <c r="K466" s="428"/>
    </row>
    <row r="467" spans="1:11">
      <c r="A467" s="89">
        <f t="shared" si="19"/>
        <v>1900</v>
      </c>
      <c r="G467" s="428"/>
      <c r="H467" s="428"/>
      <c r="I467" s="428"/>
      <c r="J467" s="428"/>
      <c r="K467" s="428"/>
    </row>
    <row r="468" spans="1:11">
      <c r="A468" s="89">
        <f t="shared" si="19"/>
        <v>1900</v>
      </c>
      <c r="G468" s="428"/>
      <c r="H468" s="428"/>
      <c r="I468" s="428"/>
      <c r="J468" s="428"/>
      <c r="K468" s="428"/>
    </row>
    <row r="469" spans="1:11">
      <c r="A469" s="89">
        <f t="shared" si="19"/>
        <v>1900</v>
      </c>
      <c r="G469" s="428"/>
      <c r="H469" s="428"/>
      <c r="I469" s="428"/>
      <c r="J469" s="428"/>
      <c r="K469" s="428"/>
    </row>
    <row r="470" spans="1:11">
      <c r="A470" s="89">
        <f t="shared" si="19"/>
        <v>1900</v>
      </c>
      <c r="G470" s="428"/>
      <c r="H470" s="428"/>
      <c r="I470" s="428"/>
      <c r="J470" s="428"/>
      <c r="K470" s="428"/>
    </row>
    <row r="471" spans="1:11">
      <c r="A471" s="89">
        <f t="shared" si="19"/>
        <v>1900</v>
      </c>
      <c r="G471" s="428"/>
      <c r="H471" s="428"/>
      <c r="I471" s="428"/>
      <c r="J471" s="428"/>
      <c r="K471" s="428"/>
    </row>
    <row r="472" spans="1:11">
      <c r="A472" s="89">
        <f t="shared" si="19"/>
        <v>1900</v>
      </c>
      <c r="G472" s="428"/>
      <c r="H472" s="428"/>
      <c r="I472" s="428"/>
      <c r="J472" s="428"/>
      <c r="K472" s="428"/>
    </row>
    <row r="473" spans="1:11">
      <c r="A473" s="89">
        <f t="shared" si="19"/>
        <v>1900</v>
      </c>
      <c r="G473" s="428"/>
      <c r="H473" s="428"/>
      <c r="I473" s="428"/>
      <c r="J473" s="428"/>
      <c r="K473" s="428"/>
    </row>
    <row r="474" spans="1:11">
      <c r="A474" s="89">
        <f t="shared" si="19"/>
        <v>1900</v>
      </c>
      <c r="G474" s="428"/>
      <c r="H474" s="428"/>
      <c r="I474" s="428"/>
      <c r="J474" s="428"/>
      <c r="K474" s="428"/>
    </row>
    <row r="475" spans="1:11">
      <c r="A475" s="89">
        <f t="shared" si="19"/>
        <v>1900</v>
      </c>
      <c r="G475" s="428"/>
      <c r="H475" s="428"/>
      <c r="I475" s="428"/>
      <c r="J475" s="428"/>
      <c r="K475" s="428"/>
    </row>
    <row r="476" spans="1:11">
      <c r="A476" s="89">
        <f t="shared" si="19"/>
        <v>1900</v>
      </c>
      <c r="G476" s="428"/>
      <c r="H476" s="428"/>
      <c r="I476" s="428"/>
      <c r="J476" s="428"/>
      <c r="K476" s="428"/>
    </row>
    <row r="477" spans="1:11">
      <c r="A477" s="89">
        <f t="shared" si="19"/>
        <v>1900</v>
      </c>
      <c r="G477" s="428"/>
      <c r="H477" s="428"/>
      <c r="I477" s="428"/>
      <c r="J477" s="428"/>
      <c r="K477" s="428"/>
    </row>
    <row r="478" spans="1:11">
      <c r="A478" s="89">
        <f t="shared" si="19"/>
        <v>1900</v>
      </c>
      <c r="G478" s="428"/>
      <c r="H478" s="428"/>
      <c r="I478" s="428"/>
      <c r="J478" s="428"/>
      <c r="K478" s="428"/>
    </row>
    <row r="479" spans="1:11">
      <c r="A479" s="89">
        <f t="shared" si="19"/>
        <v>1900</v>
      </c>
      <c r="G479" s="428"/>
      <c r="H479" s="428"/>
      <c r="I479" s="428"/>
      <c r="J479" s="428"/>
      <c r="K479" s="428"/>
    </row>
    <row r="480" spans="1:11">
      <c r="A480" s="89">
        <f t="shared" si="19"/>
        <v>1900</v>
      </c>
      <c r="G480" s="428"/>
      <c r="H480" s="428"/>
      <c r="I480" s="428"/>
      <c r="J480" s="428"/>
      <c r="K480" s="428"/>
    </row>
    <row r="481" spans="1:11">
      <c r="A481" s="89">
        <f t="shared" si="19"/>
        <v>1900</v>
      </c>
      <c r="G481" s="428"/>
      <c r="H481" s="428"/>
      <c r="I481" s="428"/>
      <c r="J481" s="428"/>
      <c r="K481" s="428"/>
    </row>
    <row r="482" spans="1:11">
      <c r="A482" s="89">
        <f t="shared" si="19"/>
        <v>1900</v>
      </c>
      <c r="G482" s="428"/>
      <c r="H482" s="428"/>
      <c r="I482" s="428"/>
      <c r="J482" s="428"/>
      <c r="K482" s="428"/>
    </row>
    <row r="483" spans="1:11">
      <c r="A483" s="89">
        <f t="shared" si="19"/>
        <v>1900</v>
      </c>
      <c r="G483" s="428"/>
      <c r="H483" s="428"/>
      <c r="I483" s="428"/>
      <c r="J483" s="428"/>
      <c r="K483" s="428"/>
    </row>
    <row r="484" spans="1:11">
      <c r="A484" s="89">
        <f t="shared" si="19"/>
        <v>1900</v>
      </c>
      <c r="G484" s="428"/>
      <c r="H484" s="428"/>
      <c r="I484" s="428"/>
      <c r="J484" s="428"/>
      <c r="K484" s="428"/>
    </row>
    <row r="485" spans="1:11">
      <c r="A485" s="89">
        <f t="shared" si="19"/>
        <v>1900</v>
      </c>
      <c r="G485" s="428"/>
      <c r="H485" s="428"/>
      <c r="I485" s="428"/>
      <c r="J485" s="428"/>
      <c r="K485" s="428"/>
    </row>
    <row r="486" spans="1:11">
      <c r="A486" s="89">
        <f t="shared" si="19"/>
        <v>1900</v>
      </c>
    </row>
    <row r="487" spans="1:11">
      <c r="A487" s="89">
        <f t="shared" si="19"/>
        <v>1900</v>
      </c>
    </row>
    <row r="488" spans="1:11">
      <c r="A488" s="89">
        <f t="shared" si="19"/>
        <v>1900</v>
      </c>
    </row>
    <row r="489" spans="1:11">
      <c r="A489" s="89">
        <f t="shared" si="19"/>
        <v>1900</v>
      </c>
    </row>
    <row r="490" spans="1:11">
      <c r="A490" s="89">
        <f t="shared" si="19"/>
        <v>1900</v>
      </c>
    </row>
    <row r="491" spans="1:11">
      <c r="A491" s="89">
        <f t="shared" si="19"/>
        <v>1900</v>
      </c>
    </row>
    <row r="492" spans="1:11">
      <c r="A492" s="89">
        <f t="shared" si="19"/>
        <v>1900</v>
      </c>
    </row>
    <row r="493" spans="1:11">
      <c r="A493" s="89">
        <f t="shared" si="19"/>
        <v>1900</v>
      </c>
    </row>
    <row r="494" spans="1:11">
      <c r="A494" s="89">
        <f t="shared" si="19"/>
        <v>1900</v>
      </c>
    </row>
    <row r="495" spans="1:11">
      <c r="A495" s="89">
        <f t="shared" si="19"/>
        <v>1900</v>
      </c>
    </row>
    <row r="496" spans="1:11">
      <c r="A496" s="89">
        <f t="shared" si="19"/>
        <v>1900</v>
      </c>
    </row>
    <row r="497" spans="1:1">
      <c r="A497" s="89">
        <f t="shared" si="19"/>
        <v>1900</v>
      </c>
    </row>
    <row r="498" spans="1:1">
      <c r="A498" s="89">
        <f t="shared" si="19"/>
        <v>1900</v>
      </c>
    </row>
    <row r="499" spans="1:1">
      <c r="A499" s="89">
        <f t="shared" si="19"/>
        <v>1900</v>
      </c>
    </row>
    <row r="500" spans="1:1">
      <c r="A500" s="89">
        <f t="shared" si="19"/>
        <v>1900</v>
      </c>
    </row>
    <row r="501" spans="1:1">
      <c r="A501" s="89">
        <f t="shared" si="19"/>
        <v>1900</v>
      </c>
    </row>
    <row r="502" spans="1:1">
      <c r="A502" s="89">
        <f t="shared" si="19"/>
        <v>1900</v>
      </c>
    </row>
    <row r="503" spans="1:1">
      <c r="A503" s="89">
        <f t="shared" si="19"/>
        <v>1900</v>
      </c>
    </row>
    <row r="504" spans="1:1">
      <c r="A504" s="89">
        <f t="shared" si="19"/>
        <v>1900</v>
      </c>
    </row>
    <row r="505" spans="1:1">
      <c r="A505" s="89">
        <f t="shared" si="19"/>
        <v>1900</v>
      </c>
    </row>
    <row r="506" spans="1:1">
      <c r="A506" s="89">
        <f t="shared" si="19"/>
        <v>1900</v>
      </c>
    </row>
    <row r="507" spans="1:1">
      <c r="A507" s="89">
        <f t="shared" si="19"/>
        <v>1900</v>
      </c>
    </row>
    <row r="508" spans="1:1">
      <c r="A508" s="89">
        <f t="shared" si="19"/>
        <v>1900</v>
      </c>
    </row>
    <row r="509" spans="1:1">
      <c r="A509" s="89">
        <f t="shared" si="19"/>
        <v>1900</v>
      </c>
    </row>
  </sheetData>
  <mergeCells count="3">
    <mergeCell ref="B7:L7"/>
    <mergeCell ref="N7:R7"/>
    <mergeCell ref="T7:X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zoomScaleNormal="100" workbookViewId="0"/>
  </sheetViews>
  <sheetFormatPr defaultRowHeight="15"/>
  <cols>
    <col min="1" max="1" width="32.7109375" style="428" customWidth="1"/>
    <col min="2" max="3" width="16.7109375" style="428" bestFit="1" customWidth="1"/>
    <col min="4" max="4" width="17.85546875" style="428" bestFit="1" customWidth="1"/>
    <col min="5" max="5" width="6.7109375" style="428" bestFit="1" customWidth="1"/>
    <col min="6" max="16384" width="9.140625" style="428"/>
  </cols>
  <sheetData>
    <row r="1" spans="1:21" ht="15.75" thickBot="1">
      <c r="C1" s="365" t="s">
        <v>346</v>
      </c>
      <c r="D1" s="364" t="s">
        <v>348</v>
      </c>
      <c r="U1" s="363" t="s">
        <v>347</v>
      </c>
    </row>
    <row r="2" spans="1:21">
      <c r="U2" s="363" t="s">
        <v>348</v>
      </c>
    </row>
    <row r="5" spans="1:21">
      <c r="A5" s="135"/>
      <c r="B5" s="135"/>
      <c r="C5" s="135"/>
      <c r="D5" s="135"/>
      <c r="E5" s="135"/>
    </row>
    <row r="6" spans="1:21" ht="15.75" thickBot="1">
      <c r="A6" s="645" t="str">
        <f ca="1">CONCATENATE("Royalty Receipts and North West Shelf Grants ",B7," and ",C7)</f>
        <v>Royalty Receipts and North West Shelf Grants 2015 and 2016</v>
      </c>
      <c r="B6" s="645"/>
      <c r="C6" s="645"/>
      <c r="D6" s="645"/>
      <c r="E6" s="645"/>
    </row>
    <row r="7" spans="1:21">
      <c r="A7" s="320"/>
      <c r="B7" s="321">
        <f ca="1">IF(D1="Calendar Year",LARGE('Royalties - Historic'!B24:DA24,2),INDIRECT(CONCATENATE("'Royalties - Historic'!",ADDRESS(8,('Royalties - Historic'!A3-2),1,))))</f>
        <v>2015</v>
      </c>
      <c r="C7" s="321">
        <f ca="1">IF(D1="Calendar Year",LARGE('Royalties - Historic'!B24:DA24,1),INDIRECT(CONCATENATE("'Royalties - Historic'!",ADDRESS(8,('Royalties - Historic'!A3-1),1,))))</f>
        <v>2016</v>
      </c>
      <c r="D7" s="646" t="str">
        <f ca="1">CONCATENATE(C7," Growth")</f>
        <v>2016 Growth</v>
      </c>
      <c r="E7" s="647"/>
    </row>
    <row r="8" spans="1:21">
      <c r="A8" s="322" t="s">
        <v>177</v>
      </c>
      <c r="B8" s="323" t="s">
        <v>194</v>
      </c>
      <c r="C8" s="323" t="s">
        <v>194</v>
      </c>
      <c r="D8" s="324" t="s">
        <v>5</v>
      </c>
      <c r="E8" s="366" t="s">
        <v>195</v>
      </c>
    </row>
    <row r="9" spans="1:21">
      <c r="A9" s="325" t="s">
        <v>12</v>
      </c>
      <c r="B9" s="326">
        <f ca="1">(IF($D$1="Calendar Year",HLOOKUP(B$7,'Royalties - Historic'!$B$24:$DA$37,9,TRUE),HLOOKUP(B$7,'Royalties - Historic'!$B$8:$DA$21,9,TRUE)))*1000000</f>
        <v>87731436</v>
      </c>
      <c r="C9" s="326">
        <f ca="1">(IF($D$1="Calendar Year",HLOOKUP(C$7,'Royalties - Historic'!$B$24:$DA$37,9,TRUE),HLOOKUP(C$7,'Royalties - Historic'!$B$8:$DA$21,9,TRUE)))*1000000</f>
        <v>77258852</v>
      </c>
      <c r="D9" s="327">
        <f ca="1">C9-B9</f>
        <v>-10472584</v>
      </c>
      <c r="E9" s="368">
        <f ca="1">D9/B9</f>
        <v>-0.11937094019525681</v>
      </c>
    </row>
    <row r="10" spans="1:21">
      <c r="A10" s="325" t="s">
        <v>197</v>
      </c>
      <c r="B10" s="328">
        <f ca="1">(IF($D$1="Calendar Year",HLOOKUP(B$7,'Royalties - Historic'!$B$24:$DA$37,10,TRUE),HLOOKUP(B$7,'Royalties - Historic'!$B$8:$DA$21,10,TRUE)))*1000000</f>
        <v>69357086</v>
      </c>
      <c r="C10" s="328">
        <f ca="1">(IF($D$1="Calendar Year",HLOOKUP(C$7,'Royalties - Historic'!$B$24:$DA$37,10,TRUE),HLOOKUP(C$7,'Royalties - Historic'!$B$8:$DA$21,10,TRUE)))*1000000</f>
        <v>50729916</v>
      </c>
      <c r="D10" s="330">
        <f t="shared" ref="D10:D20" ca="1" si="0">C10-B10</f>
        <v>-18627170</v>
      </c>
      <c r="E10" s="369">
        <f t="shared" ref="E10:E20" ca="1" si="1">D10/B10</f>
        <v>-0.26856909761174225</v>
      </c>
    </row>
    <row r="11" spans="1:21">
      <c r="A11" s="325" t="s">
        <v>100</v>
      </c>
      <c r="B11" s="329">
        <f ca="1">(IF($D$1="Calendar Year",HLOOKUP(B$7,'Royalties - Historic'!$B$24:$DA$37,7,TRUE),HLOOKUP(B$7,'Royalties - Historic'!$B$8:$DA$21,7,TRUE)))*1000000</f>
        <v>15963969</v>
      </c>
      <c r="C11" s="326">
        <f ca="1">(IF($D$1="Calendar Year",HLOOKUP(C$7,'Royalties - Historic'!$B$24:$DA$37,7,TRUE),HLOOKUP(C$7,'Royalties - Historic'!$B$8:$DA$21,7,TRUE)))*1000000</f>
        <v>15668356</v>
      </c>
      <c r="D11" s="327">
        <f t="shared" ca="1" si="0"/>
        <v>-295613</v>
      </c>
      <c r="E11" s="370">
        <f t="shared" ca="1" si="1"/>
        <v>-1.8517512781439253E-2</v>
      </c>
    </row>
    <row r="12" spans="1:21">
      <c r="A12" s="325" t="s">
        <v>15</v>
      </c>
      <c r="B12" s="328">
        <f ca="1">(IF($D$1="Calendar Year",HLOOKUP(B$7,'Royalties - Historic'!$B$24:$DA$37,5,TRUE),HLOOKUP(B$7,'Royalties - Historic'!$B$8:$DA$21,5,TRUE)))*1000000</f>
        <v>228700818</v>
      </c>
      <c r="C12" s="328">
        <f ca="1">(IF($D$1="Calendar Year",HLOOKUP(C$7,'Royalties - Historic'!$B$24:$DA$37,5,TRUE),HLOOKUP(C$7,'Royalties - Historic'!$B$8:$DA$21,5,TRUE)))*1000000</f>
        <v>254833570</v>
      </c>
      <c r="D12" s="330">
        <f t="shared" ca="1" si="0"/>
        <v>26132752</v>
      </c>
      <c r="E12" s="369">
        <f t="shared" ca="1" si="1"/>
        <v>0.11426610638533002</v>
      </c>
    </row>
    <row r="13" spans="1:21">
      <c r="A13" s="325" t="s">
        <v>349</v>
      </c>
      <c r="B13" s="326">
        <f ca="1">(IF($D$1="Calendar Year",HLOOKUP(B$7,'Royalties - Historic'!$B$24:$DA$37,11,TRUE),HLOOKUP(B$7,'Royalties - Historic'!$B$8:$DA$21,11,TRUE)))*1000000</f>
        <v>12902158</v>
      </c>
      <c r="C13" s="326">
        <f ca="1">(IF($D$1="Calendar Year",HLOOKUP(C$7,'Royalties - Historic'!$B$24:$DA$37,11,TRUE),HLOOKUP(C$7,'Royalties - Historic'!$B$8:$DA$21,11,TRUE)))*1000000</f>
        <v>17110662</v>
      </c>
      <c r="D13" s="327">
        <f t="shared" ca="1" si="0"/>
        <v>4208504</v>
      </c>
      <c r="E13" s="370">
        <f t="shared" ca="1" si="1"/>
        <v>0.32618605352685964</v>
      </c>
    </row>
    <row r="14" spans="1:21">
      <c r="A14" s="325" t="s">
        <v>180</v>
      </c>
      <c r="B14" s="328">
        <f ca="1">(IF($D$1="Calendar Year",HLOOKUP(B$7,'Royalties - Historic'!$B$24:$DA$37,6,TRUE),HLOOKUP(B$7,'Royalties - Historic'!$B$8:$DA$21,6,TRUE)))*1000000</f>
        <v>3863441741</v>
      </c>
      <c r="C14" s="328">
        <f ca="1">(IF($D$1="Calendar Year",HLOOKUP(C$7,'Royalties - Historic'!$B$24:$DA$37,6,TRUE),HLOOKUP(C$7,'Royalties - Historic'!$B$8:$DA$21,6,TRUE)))*1000000</f>
        <v>3642503531</v>
      </c>
      <c r="D14" s="330">
        <f t="shared" ca="1" si="0"/>
        <v>-220938210</v>
      </c>
      <c r="E14" s="369">
        <f t="shared" ca="1" si="1"/>
        <v>-5.7186887964515577E-2</v>
      </c>
    </row>
    <row r="15" spans="1:21">
      <c r="A15" s="325" t="s">
        <v>17</v>
      </c>
      <c r="B15" s="326">
        <f ca="1">(IF($D$1="Calendar Year",HLOOKUP(B$7,'Royalties - Historic'!$B$24:$DA$37,8,TRUE),HLOOKUP(B$7,'Royalties - Historic'!$B$8:$DA$21,8,TRUE)))*1000000</f>
        <v>66572766</v>
      </c>
      <c r="C15" s="326">
        <f ca="1">(IF($D$1="Calendar Year",HLOOKUP(C$7,'Royalties - Historic'!$B$24:$DA$37,8,TRUE),HLOOKUP(C$7,'Royalties - Historic'!$B$8:$DA$21,8,TRUE)))*1000000</f>
        <v>47413266</v>
      </c>
      <c r="D15" s="327">
        <f t="shared" ca="1" si="0"/>
        <v>-19159500</v>
      </c>
      <c r="E15" s="370">
        <f t="shared" ca="1" si="1"/>
        <v>-0.2877978661724826</v>
      </c>
    </row>
    <row r="16" spans="1:21">
      <c r="A16" s="325" t="s">
        <v>198</v>
      </c>
      <c r="B16" s="328">
        <f ca="1">(IF($D$1="Calendar Year",HLOOKUP(B$7,'Royalties - Historic'!$B$24:$DA$37,4,TRUE),HLOOKUP(B$7,'Royalties - Historic'!$B$8:$DA$21,4,TRUE)))*1000000</f>
        <v>8985131</v>
      </c>
      <c r="C16" s="328">
        <f ca="1">(IF($D$1="Calendar Year",HLOOKUP(C$7,'Royalties - Historic'!$B$24:$DA$37,4,TRUE),HLOOKUP(C$7,'Royalties - Historic'!$B$8:$DA$21,4,TRUE)))*1000000</f>
        <v>3419612</v>
      </c>
      <c r="D16" s="330">
        <f t="shared" ca="1" si="0"/>
        <v>-5565519</v>
      </c>
      <c r="E16" s="369">
        <f t="shared" ca="1" si="1"/>
        <v>-0.61941434131566919</v>
      </c>
    </row>
    <row r="17" spans="1:13" ht="15.75" thickBot="1">
      <c r="A17" s="325" t="s">
        <v>103</v>
      </c>
      <c r="B17" s="331">
        <f ca="1">(IF($D$1="Calendar Year",HLOOKUP(B$7,'Royalties - Historic'!$B$24:$DA$37,3,TRUE),HLOOKUP(B$7,'Royalties - Historic'!$B$8:$DA$21,3,TRUE)))*1000000</f>
        <v>76166966</v>
      </c>
      <c r="C17" s="332">
        <f ca="1">(IF($D$1="Calendar Year",HLOOKUP(C$7,'Royalties - Historic'!$B$24:$DA$37,3,TRUE),HLOOKUP(C$7,'Royalties - Historic'!$B$8:$DA$21,3,TRUE)))*1000000</f>
        <v>60905515.700000003</v>
      </c>
      <c r="D17" s="333">
        <f t="shared" ca="1" si="0"/>
        <v>-15261450.299999997</v>
      </c>
      <c r="E17" s="371">
        <f t="shared" ca="1" si="1"/>
        <v>-0.20036836310376335</v>
      </c>
      <c r="M17" s="428" t="str">
        <f ca="1">"Revenue Growth"&amp;CHAR(10)&amp;B7&amp;" to "&amp;C7</f>
        <v>Revenue Growth
2015 to 2016</v>
      </c>
    </row>
    <row r="18" spans="1:13" ht="15.75" thickTop="1">
      <c r="A18" s="325" t="s">
        <v>603</v>
      </c>
      <c r="B18" s="334">
        <f ca="1">SUM(B9:B17)</f>
        <v>4429822071</v>
      </c>
      <c r="C18" s="334">
        <f ca="1">SUM(C9:C17)</f>
        <v>4169843280.6999998</v>
      </c>
      <c r="D18" s="335">
        <f t="shared" ca="1" si="0"/>
        <v>-259978790.30000019</v>
      </c>
      <c r="E18" s="372">
        <f t="shared" ca="1" si="1"/>
        <v>-5.8688314368642774E-2</v>
      </c>
    </row>
    <row r="19" spans="1:13" ht="15.75" thickBot="1">
      <c r="A19" s="325" t="s">
        <v>199</v>
      </c>
      <c r="B19" s="336">
        <f ca="1">(IF($D$1="Calendar Year",HLOOKUP(B$7,'Royalties - Historic'!$B$24:$DA$37,12,TRUE),HLOOKUP(B$7,'Royalties - Historic'!$B$8:$DA$21,12,TRUE)))*1000000</f>
        <v>742805828</v>
      </c>
      <c r="C19" s="337">
        <f ca="1">(IF($D$1="Calendar Year",HLOOKUP(C$7,'Royalties - Historic'!$B$24:$DA$37,12,TRUE),HLOOKUP(C$7,'Royalties - Historic'!$B$8:$DA$21,12,TRUE)))*1000000</f>
        <v>567044756</v>
      </c>
      <c r="D19" s="338">
        <f t="shared" ca="1" si="0"/>
        <v>-175761072</v>
      </c>
      <c r="E19" s="373">
        <f t="shared" ca="1" si="1"/>
        <v>-0.23661778808768313</v>
      </c>
    </row>
    <row r="20" spans="1:13" ht="16.5" thickTop="1" thickBot="1">
      <c r="A20" s="339" t="s">
        <v>600</v>
      </c>
      <c r="B20" s="340">
        <f ca="1">SUM(B18:B19)</f>
        <v>5172627899</v>
      </c>
      <c r="C20" s="340">
        <f ca="1">SUM(C18:C19)</f>
        <v>4736888036.6999998</v>
      </c>
      <c r="D20" s="341">
        <f t="shared" ca="1" si="0"/>
        <v>-435739862.30000019</v>
      </c>
      <c r="E20" s="374">
        <f t="shared" ca="1" si="1"/>
        <v>-8.4239553048894106E-2</v>
      </c>
    </row>
    <row r="21" spans="1:13" ht="40.5" customHeight="1">
      <c r="A21" s="648" t="s">
        <v>196</v>
      </c>
      <c r="B21" s="648"/>
      <c r="C21" s="648"/>
      <c r="D21" s="648"/>
      <c r="E21" s="648"/>
      <c r="F21" s="244"/>
    </row>
    <row r="22" spans="1:13" ht="33.75" customHeight="1">
      <c r="A22" s="649" t="str">
        <f ca="1">IF(D1="Calendar Year", "Note 2: Regulation 86A of the Mining Regulations 1981 requires that royalties be paid within 30 days following the end of a quarter. As a result, the cash receipts are necessarily offset by one quarter, i.e. the "&amp;C7&amp;" calendar year royalty receipts reflect the "&amp;B7&amp;" December quarter, and the "&amp;C7&amp;" March, June and September quarters.",
"Note 2: Regulation 86A of the Mining Regulations 1981 requires that royalties be paid within 30 days following the end of a quarter. As a result, the cash receipts are necessarily offset by one quarter, i.e. the "&amp;C7&amp;" financial year royalty receipts reflect the "&amp;LEFT(C7,4)&amp;" June, September and December quarters, and the "&amp;LEFT(C7,4)+1&amp;" March quarter.")</f>
        <v>Note 2: Regulation 86A of the Mining Regulations 1981 requires that royalties be paid within 30 days following the end of a quarter. As a result, the cash receipts are necessarily offset by one quarter, i.e. the 2016 calendar year royalty receipts reflect the 2015 December quarter, and the 2016 March, June and September quarters.</v>
      </c>
      <c r="B22" s="649"/>
      <c r="C22" s="649"/>
      <c r="D22" s="649"/>
      <c r="E22" s="649"/>
      <c r="F22" s="244"/>
    </row>
    <row r="23" spans="1:13">
      <c r="A23" s="649" t="s">
        <v>319</v>
      </c>
      <c r="B23" s="649"/>
      <c r="C23" s="649"/>
      <c r="D23" s="649"/>
      <c r="E23" s="649"/>
    </row>
    <row r="24" spans="1:13">
      <c r="A24" s="506" t="s">
        <v>595</v>
      </c>
      <c r="B24" s="342"/>
      <c r="C24" s="342"/>
      <c r="D24" s="342"/>
      <c r="E24" s="342"/>
    </row>
    <row r="25" spans="1:13">
      <c r="A25" s="507" t="s">
        <v>596</v>
      </c>
    </row>
    <row r="26" spans="1:13">
      <c r="A26" s="507" t="s">
        <v>597</v>
      </c>
    </row>
    <row r="36" spans="1:1">
      <c r="A36" s="631"/>
    </row>
  </sheetData>
  <mergeCells count="5">
    <mergeCell ref="A6:E6"/>
    <mergeCell ref="D7:E7"/>
    <mergeCell ref="A21:E21"/>
    <mergeCell ref="A22:E22"/>
    <mergeCell ref="A23:E23"/>
  </mergeCells>
  <conditionalFormatting sqref="D9:E20">
    <cfRule type="cellIs" dxfId="0" priority="1" operator="lessThan">
      <formula>0</formula>
    </cfRule>
  </conditionalFormatting>
  <dataValidations count="1">
    <dataValidation type="list" allowBlank="1" showInputMessage="1" showErrorMessage="1" promptTitle="Select a Period" prompt="Click to select Calendar or Financial Year" sqref="D1">
      <formula1>$U$1:$U$2</formula1>
    </dataValidation>
  </dataValidations>
  <pageMargins left="0.70866141732283472" right="0.70866141732283472" top="0.74803149606299213" bottom="0.74803149606299213" header="0.31496062992125984" footer="0.31496062992125984"/>
  <pageSetup paperSize="9"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7"/>
  <sheetViews>
    <sheetView zoomScaleNormal="100" workbookViewId="0">
      <pane xSplit="1" ySplit="5" topLeftCell="B6" activePane="bottomRight" state="frozen"/>
      <selection pane="topRight"/>
      <selection pane="bottomLeft"/>
      <selection pane="bottomRight" activeCell="B6" sqref="B6"/>
    </sheetView>
  </sheetViews>
  <sheetFormatPr defaultRowHeight="15"/>
  <cols>
    <col min="1" max="1" width="51.85546875" style="135" bestFit="1" customWidth="1"/>
    <col min="2" max="25" width="12.7109375" style="135" bestFit="1" customWidth="1"/>
    <col min="26" max="26" width="13.28515625" style="135" bestFit="1" customWidth="1"/>
    <col min="27" max="27" width="13.140625" style="135" bestFit="1" customWidth="1"/>
    <col min="28" max="28" width="14.140625" style="135" customWidth="1"/>
    <col min="29" max="32" width="13.140625" style="135" bestFit="1" customWidth="1"/>
    <col min="33" max="34" width="13.28515625" style="135" bestFit="1" customWidth="1"/>
    <col min="35" max="35" width="10.7109375" style="135" customWidth="1"/>
    <col min="36" max="36" width="5.5703125" style="135" customWidth="1"/>
    <col min="37" max="16384" width="9.140625" style="135"/>
  </cols>
  <sheetData>
    <row r="1" spans="1:54">
      <c r="B1" s="434">
        <f t="shared" ref="B1:AH1" si="0">IFERROR(SUM(LEFT(B8,4)),"")</f>
        <v>1983</v>
      </c>
      <c r="C1" s="434">
        <f t="shared" si="0"/>
        <v>1984</v>
      </c>
      <c r="D1" s="434">
        <f t="shared" si="0"/>
        <v>1985</v>
      </c>
      <c r="E1" s="434">
        <f t="shared" si="0"/>
        <v>1986</v>
      </c>
      <c r="F1" s="434">
        <f t="shared" si="0"/>
        <v>1987</v>
      </c>
      <c r="G1" s="434">
        <f t="shared" si="0"/>
        <v>1988</v>
      </c>
      <c r="H1" s="434">
        <f t="shared" si="0"/>
        <v>1989</v>
      </c>
      <c r="I1" s="434">
        <f t="shared" si="0"/>
        <v>1990</v>
      </c>
      <c r="J1" s="434">
        <f t="shared" si="0"/>
        <v>1991</v>
      </c>
      <c r="K1" s="434">
        <f t="shared" si="0"/>
        <v>1992</v>
      </c>
      <c r="L1" s="434">
        <f t="shared" si="0"/>
        <v>1993</v>
      </c>
      <c r="M1" s="434">
        <f t="shared" si="0"/>
        <v>1994</v>
      </c>
      <c r="N1" s="434">
        <f t="shared" si="0"/>
        <v>1995</v>
      </c>
      <c r="O1" s="434">
        <f t="shared" si="0"/>
        <v>1996</v>
      </c>
      <c r="P1" s="434">
        <f t="shared" si="0"/>
        <v>1997</v>
      </c>
      <c r="Q1" s="434">
        <f t="shared" si="0"/>
        <v>1998</v>
      </c>
      <c r="R1" s="434">
        <f t="shared" si="0"/>
        <v>1999</v>
      </c>
      <c r="S1" s="434">
        <f t="shared" si="0"/>
        <v>2000</v>
      </c>
      <c r="T1" s="434">
        <f t="shared" si="0"/>
        <v>2001</v>
      </c>
      <c r="U1" s="434">
        <f t="shared" si="0"/>
        <v>2002</v>
      </c>
      <c r="V1" s="434">
        <f t="shared" si="0"/>
        <v>2003</v>
      </c>
      <c r="W1" s="434">
        <f t="shared" si="0"/>
        <v>2004</v>
      </c>
      <c r="X1" s="434">
        <f t="shared" si="0"/>
        <v>2005</v>
      </c>
      <c r="Y1" s="434">
        <f t="shared" si="0"/>
        <v>2006</v>
      </c>
      <c r="Z1" s="434">
        <f t="shared" si="0"/>
        <v>2007</v>
      </c>
      <c r="AA1" s="434">
        <f t="shared" si="0"/>
        <v>2008</v>
      </c>
      <c r="AB1" s="434">
        <f t="shared" si="0"/>
        <v>2009</v>
      </c>
      <c r="AC1" s="434">
        <f t="shared" si="0"/>
        <v>2010</v>
      </c>
      <c r="AD1" s="434">
        <f t="shared" si="0"/>
        <v>2011</v>
      </c>
      <c r="AE1" s="434">
        <f t="shared" si="0"/>
        <v>2012</v>
      </c>
      <c r="AF1" s="434">
        <f t="shared" si="0"/>
        <v>2013</v>
      </c>
      <c r="AG1" s="434">
        <f t="shared" si="0"/>
        <v>2014</v>
      </c>
      <c r="AH1" s="434">
        <f t="shared" si="0"/>
        <v>2015</v>
      </c>
      <c r="AI1" s="135" t="str">
        <f>IFERROR(SUM(LEFT(AI8,4)),"")</f>
        <v/>
      </c>
      <c r="AJ1" s="135" t="str">
        <f t="shared" ref="AJ1:BB1" si="1">IFERROR(SUM(LEFT(AJ8,4)),"")</f>
        <v/>
      </c>
      <c r="AK1" s="135" t="str">
        <f t="shared" si="1"/>
        <v/>
      </c>
      <c r="AL1" s="135" t="str">
        <f t="shared" si="1"/>
        <v/>
      </c>
      <c r="AM1" s="135" t="str">
        <f t="shared" si="1"/>
        <v/>
      </c>
      <c r="AN1" s="135" t="str">
        <f t="shared" si="1"/>
        <v/>
      </c>
      <c r="AO1" s="135" t="str">
        <f t="shared" si="1"/>
        <v/>
      </c>
      <c r="AP1" s="135" t="str">
        <f t="shared" si="1"/>
        <v/>
      </c>
      <c r="AQ1" s="135" t="str">
        <f t="shared" si="1"/>
        <v/>
      </c>
      <c r="AR1" s="135" t="str">
        <f t="shared" si="1"/>
        <v/>
      </c>
      <c r="AS1" s="135" t="str">
        <f t="shared" si="1"/>
        <v/>
      </c>
      <c r="AT1" s="135" t="str">
        <f t="shared" si="1"/>
        <v/>
      </c>
      <c r="AU1" s="135" t="str">
        <f t="shared" si="1"/>
        <v/>
      </c>
      <c r="AV1" s="135" t="str">
        <f t="shared" si="1"/>
        <v/>
      </c>
      <c r="AW1" s="135" t="str">
        <f t="shared" si="1"/>
        <v/>
      </c>
      <c r="AX1" s="135" t="str">
        <f t="shared" si="1"/>
        <v/>
      </c>
      <c r="AY1" s="135" t="str">
        <f t="shared" si="1"/>
        <v/>
      </c>
      <c r="AZ1" s="135" t="str">
        <f t="shared" si="1"/>
        <v/>
      </c>
      <c r="BA1" s="135" t="str">
        <f t="shared" si="1"/>
        <v/>
      </c>
      <c r="BB1" s="135" t="str">
        <f t="shared" si="1"/>
        <v/>
      </c>
    </row>
    <row r="2" spans="1:54">
      <c r="A2" s="434" t="str">
        <f>ADDRESS(8,(A3-1),1,)</f>
        <v>$AH$8</v>
      </c>
    </row>
    <row r="3" spans="1:54">
      <c r="A3" s="367">
        <f>MATCH("Cumulative Total",A8:DA8)</f>
        <v>35</v>
      </c>
    </row>
    <row r="5" spans="1:54">
      <c r="AB5" s="650" t="s">
        <v>233</v>
      </c>
      <c r="AC5" s="650"/>
      <c r="AD5" s="650"/>
      <c r="AE5" s="650"/>
      <c r="AF5" s="650"/>
      <c r="AG5" s="650"/>
      <c r="AH5" s="650"/>
      <c r="AI5" s="650"/>
      <c r="AJ5" s="650"/>
      <c r="AK5" s="650"/>
      <c r="AL5" s="650"/>
    </row>
    <row r="6" spans="1:54">
      <c r="AB6" s="183" t="s">
        <v>234</v>
      </c>
      <c r="AC6" s="184"/>
      <c r="AD6" s="184"/>
      <c r="AE6" s="184"/>
      <c r="AF6" s="184"/>
      <c r="AG6" s="184"/>
      <c r="AH6" s="184"/>
      <c r="AI6" s="184"/>
      <c r="AJ6" s="184"/>
      <c r="AK6" s="184"/>
      <c r="AL6" s="184"/>
    </row>
    <row r="7" spans="1:54" ht="15.75" thickBot="1">
      <c r="A7" s="185" t="s">
        <v>598</v>
      </c>
    </row>
    <row r="8" spans="1:54" s="189" customFormat="1">
      <c r="A8" s="651" t="s">
        <v>177</v>
      </c>
      <c r="B8" s="203" t="s">
        <v>200</v>
      </c>
      <c r="C8" s="203" t="s">
        <v>201</v>
      </c>
      <c r="D8" s="203" t="s">
        <v>202</v>
      </c>
      <c r="E8" s="204" t="s">
        <v>203</v>
      </c>
      <c r="F8" s="203" t="s">
        <v>204</v>
      </c>
      <c r="G8" s="204" t="s">
        <v>205</v>
      </c>
      <c r="H8" s="203" t="s">
        <v>206</v>
      </c>
      <c r="I8" s="204" t="s">
        <v>207</v>
      </c>
      <c r="J8" s="203" t="s">
        <v>208</v>
      </c>
      <c r="K8" s="204" t="s">
        <v>209</v>
      </c>
      <c r="L8" s="204" t="s">
        <v>210</v>
      </c>
      <c r="M8" s="204" t="s">
        <v>211</v>
      </c>
      <c r="N8" s="204" t="s">
        <v>212</v>
      </c>
      <c r="O8" s="204" t="s">
        <v>213</v>
      </c>
      <c r="P8" s="205" t="s">
        <v>214</v>
      </c>
      <c r="Q8" s="205" t="s">
        <v>215</v>
      </c>
      <c r="R8" s="206" t="s">
        <v>216</v>
      </c>
      <c r="S8" s="206" t="s">
        <v>217</v>
      </c>
      <c r="T8" s="206" t="s">
        <v>218</v>
      </c>
      <c r="U8" s="206" t="s">
        <v>219</v>
      </c>
      <c r="V8" s="206" t="s">
        <v>220</v>
      </c>
      <c r="W8" s="206" t="s">
        <v>221</v>
      </c>
      <c r="X8" s="206" t="s">
        <v>222</v>
      </c>
      <c r="Y8" s="206" t="s">
        <v>223</v>
      </c>
      <c r="Z8" s="213" t="s">
        <v>224</v>
      </c>
      <c r="AA8" s="213" t="s">
        <v>225</v>
      </c>
      <c r="AB8" s="213" t="s">
        <v>226</v>
      </c>
      <c r="AC8" s="213" t="s">
        <v>227</v>
      </c>
      <c r="AD8" s="213" t="s">
        <v>228</v>
      </c>
      <c r="AE8" s="213" t="s">
        <v>229</v>
      </c>
      <c r="AF8" s="213" t="s">
        <v>230</v>
      </c>
      <c r="AG8" s="213" t="s">
        <v>231</v>
      </c>
      <c r="AH8" s="213" t="s">
        <v>353</v>
      </c>
      <c r="AI8" s="653" t="s">
        <v>602</v>
      </c>
      <c r="AJ8" s="654"/>
    </row>
    <row r="9" spans="1:54" s="189" customFormat="1">
      <c r="A9" s="652"/>
      <c r="B9" s="186" t="s">
        <v>235</v>
      </c>
      <c r="C9" s="186" t="s">
        <v>235</v>
      </c>
      <c r="D9" s="186" t="s">
        <v>235</v>
      </c>
      <c r="E9" s="187" t="s">
        <v>235</v>
      </c>
      <c r="F9" s="186" t="s">
        <v>235</v>
      </c>
      <c r="G9" s="187" t="s">
        <v>235</v>
      </c>
      <c r="H9" s="186" t="s">
        <v>235</v>
      </c>
      <c r="I9" s="187" t="s">
        <v>235</v>
      </c>
      <c r="J9" s="186" t="s">
        <v>235</v>
      </c>
      <c r="K9" s="187" t="s">
        <v>235</v>
      </c>
      <c r="L9" s="187" t="s">
        <v>235</v>
      </c>
      <c r="M9" s="187" t="s">
        <v>235</v>
      </c>
      <c r="N9" s="187" t="s">
        <v>235</v>
      </c>
      <c r="O9" s="187" t="s">
        <v>235</v>
      </c>
      <c r="P9" s="188" t="s">
        <v>235</v>
      </c>
      <c r="Q9" s="188" t="s">
        <v>235</v>
      </c>
      <c r="R9" s="220" t="s">
        <v>235</v>
      </c>
      <c r="S9" s="220" t="s">
        <v>235</v>
      </c>
      <c r="T9" s="220" t="s">
        <v>235</v>
      </c>
      <c r="U9" s="220" t="s">
        <v>235</v>
      </c>
      <c r="V9" s="220" t="s">
        <v>235</v>
      </c>
      <c r="W9" s="220" t="s">
        <v>235</v>
      </c>
      <c r="X9" s="220" t="s">
        <v>235</v>
      </c>
      <c r="Y9" s="220" t="s">
        <v>235</v>
      </c>
      <c r="Z9" s="221" t="s">
        <v>235</v>
      </c>
      <c r="AA9" s="221" t="s">
        <v>235</v>
      </c>
      <c r="AB9" s="221" t="s">
        <v>235</v>
      </c>
      <c r="AC9" s="221" t="s">
        <v>235</v>
      </c>
      <c r="AD9" s="221" t="s">
        <v>235</v>
      </c>
      <c r="AE9" s="221" t="s">
        <v>235</v>
      </c>
      <c r="AF9" s="221" t="s">
        <v>235</v>
      </c>
      <c r="AG9" s="221" t="s">
        <v>235</v>
      </c>
      <c r="AH9" s="221" t="s">
        <v>235</v>
      </c>
      <c r="AI9" s="222"/>
      <c r="AJ9" s="223"/>
    </row>
    <row r="10" spans="1:54">
      <c r="A10" s="199" t="s">
        <v>103</v>
      </c>
      <c r="B10" s="196">
        <v>5.5610059999999999</v>
      </c>
      <c r="C10" s="196">
        <v>6.3930509999999998</v>
      </c>
      <c r="D10" s="196">
        <v>8.0271319999999999</v>
      </c>
      <c r="E10" s="196">
        <v>7.9095449999999996</v>
      </c>
      <c r="F10" s="196">
        <v>13.068519999999999</v>
      </c>
      <c r="G10" s="196">
        <v>20.034945</v>
      </c>
      <c r="H10" s="196">
        <v>28.046506000000001</v>
      </c>
      <c r="I10" s="196">
        <v>28.849383</v>
      </c>
      <c r="J10" s="196">
        <v>33.842216999999998</v>
      </c>
      <c r="K10" s="196">
        <v>37.293396999999999</v>
      </c>
      <c r="L10" s="196">
        <v>33.044978999999998</v>
      </c>
      <c r="M10" s="196">
        <v>36.107399999999998</v>
      </c>
      <c r="N10" s="196">
        <v>51.626274000000002</v>
      </c>
      <c r="O10" s="196">
        <v>48.774479999999997</v>
      </c>
      <c r="P10" s="196">
        <v>49.092109000000001</v>
      </c>
      <c r="Q10" s="196">
        <v>52.704507999999997</v>
      </c>
      <c r="R10" s="196">
        <v>59.839576000000001</v>
      </c>
      <c r="S10" s="196">
        <v>69.642539999999997</v>
      </c>
      <c r="T10" s="196">
        <v>70.628006999999997</v>
      </c>
      <c r="U10" s="196">
        <v>74.150046000000003</v>
      </c>
      <c r="V10" s="196">
        <v>76.273469000000006</v>
      </c>
      <c r="W10" s="196">
        <v>77.409141000000005</v>
      </c>
      <c r="X10" s="196">
        <v>101.51466000000001</v>
      </c>
      <c r="Y10" s="196">
        <v>140.46548799999999</v>
      </c>
      <c r="Z10" s="196">
        <v>118.23414699999999</v>
      </c>
      <c r="AA10" s="196">
        <v>104.42389</v>
      </c>
      <c r="AB10" s="196">
        <v>107.688425</v>
      </c>
      <c r="AC10" s="196">
        <v>145.17455899999999</v>
      </c>
      <c r="AD10" s="196">
        <v>116.56926199999999</v>
      </c>
      <c r="AE10" s="196">
        <v>142.10414299999999</v>
      </c>
      <c r="AF10" s="196">
        <v>73.008505999999997</v>
      </c>
      <c r="AG10" s="196">
        <v>72.449831000000003</v>
      </c>
      <c r="AH10" s="392">
        <v>69.692154000000002</v>
      </c>
      <c r="AI10" s="208">
        <f t="shared" ref="AI10:AI19" si="2">SUM(B10:AH10)</f>
        <v>2079.6432959999997</v>
      </c>
      <c r="AJ10" s="197">
        <f t="shared" ref="AJ10:AJ19" si="3">AI10/AI$21</f>
        <v>3.6650171722639062E-2</v>
      </c>
    </row>
    <row r="11" spans="1:54">
      <c r="A11" s="199" t="s">
        <v>232</v>
      </c>
      <c r="B11" s="198">
        <v>18.141971999999999</v>
      </c>
      <c r="C11" s="198">
        <v>17.555803000000001</v>
      </c>
      <c r="D11" s="198">
        <v>34.023504000000003</v>
      </c>
      <c r="E11" s="198">
        <v>27.409625999999999</v>
      </c>
      <c r="F11" s="198">
        <v>30.044163999999999</v>
      </c>
      <c r="G11" s="198">
        <v>20.579606999999999</v>
      </c>
      <c r="H11" s="198">
        <v>51.777318999999999</v>
      </c>
      <c r="I11" s="198">
        <v>92.427104999999997</v>
      </c>
      <c r="J11" s="198">
        <v>86.520780999999999</v>
      </c>
      <c r="K11" s="198">
        <v>79.728049999999996</v>
      </c>
      <c r="L11" s="198">
        <v>72.886319</v>
      </c>
      <c r="M11" s="198">
        <v>113.736997</v>
      </c>
      <c r="N11" s="198">
        <v>159.405226</v>
      </c>
      <c r="O11" s="198">
        <v>229.74677199999999</v>
      </c>
      <c r="P11" s="198">
        <v>247.40349000000001</v>
      </c>
      <c r="Q11" s="198">
        <v>176.94987699999999</v>
      </c>
      <c r="R11" s="198">
        <v>344.89695799999998</v>
      </c>
      <c r="S11" s="198">
        <v>526.71487500000001</v>
      </c>
      <c r="T11" s="198">
        <v>428.286945</v>
      </c>
      <c r="U11" s="198">
        <v>488.56950000000001</v>
      </c>
      <c r="V11" s="198">
        <v>416.33150599999999</v>
      </c>
      <c r="W11" s="198">
        <v>549.66091300000005</v>
      </c>
      <c r="X11" s="198">
        <v>678.82588699999997</v>
      </c>
      <c r="Y11" s="198">
        <v>714.09106699999995</v>
      </c>
      <c r="Z11" s="198">
        <v>811.02602400000001</v>
      </c>
      <c r="AA11" s="198">
        <v>868.76158099999998</v>
      </c>
      <c r="AB11" s="198">
        <v>21.925331</v>
      </c>
      <c r="AC11" s="198">
        <v>21.535059</v>
      </c>
      <c r="AD11" s="198">
        <v>18.749521999999999</v>
      </c>
      <c r="AE11" s="198">
        <v>18.187507</v>
      </c>
      <c r="AF11" s="198">
        <v>11.493467000000001</v>
      </c>
      <c r="AG11" s="198">
        <v>8.7168390000000002</v>
      </c>
      <c r="AH11" s="215">
        <v>7.2391100000000002</v>
      </c>
      <c r="AI11" s="211">
        <f t="shared" si="2"/>
        <v>7393.3487029999997</v>
      </c>
      <c r="AJ11" s="304">
        <f t="shared" si="3"/>
        <v>0.13029518095313822</v>
      </c>
    </row>
    <row r="12" spans="1:54">
      <c r="A12" s="322" t="s">
        <v>15</v>
      </c>
      <c r="B12" s="196">
        <v>8.7825E-2</v>
      </c>
      <c r="C12" s="196">
        <v>0.100622</v>
      </c>
      <c r="D12" s="196">
        <v>0.10366300000000001</v>
      </c>
      <c r="E12" s="196">
        <v>0.111974</v>
      </c>
      <c r="F12" s="196">
        <v>0.12281400000000001</v>
      </c>
      <c r="G12" s="196">
        <v>0.21961</v>
      </c>
      <c r="H12" s="196">
        <v>0.19936200000000001</v>
      </c>
      <c r="I12" s="196">
        <v>0.29169099999999998</v>
      </c>
      <c r="J12" s="196">
        <v>0.204375</v>
      </c>
      <c r="K12" s="196">
        <v>0.25411499999999998</v>
      </c>
      <c r="L12" s="196">
        <v>0.28651500000000002</v>
      </c>
      <c r="M12" s="196">
        <v>0.386544</v>
      </c>
      <c r="N12" s="196">
        <v>0.36636800000000003</v>
      </c>
      <c r="O12" s="196">
        <v>0.46406599999999998</v>
      </c>
      <c r="P12" s="196">
        <v>0.36513299999999999</v>
      </c>
      <c r="Q12" s="196">
        <v>28.296903</v>
      </c>
      <c r="R12" s="196">
        <v>33.446114000000001</v>
      </c>
      <c r="S12" s="196">
        <v>65.638722000000001</v>
      </c>
      <c r="T12" s="196">
        <v>79.808780999999996</v>
      </c>
      <c r="U12" s="196">
        <v>85.356088999999997</v>
      </c>
      <c r="V12" s="196">
        <v>79.500095000000002</v>
      </c>
      <c r="W12" s="196">
        <v>72.914303000000004</v>
      </c>
      <c r="X12" s="196">
        <v>81.622995000000003</v>
      </c>
      <c r="Y12" s="196">
        <v>104.88511099999999</v>
      </c>
      <c r="Z12" s="196">
        <v>99.481977000000001</v>
      </c>
      <c r="AA12" s="196">
        <v>116.420727</v>
      </c>
      <c r="AB12" s="196">
        <v>152.528649</v>
      </c>
      <c r="AC12" s="196">
        <v>197.79251600000001</v>
      </c>
      <c r="AD12" s="196">
        <v>224.72959499999999</v>
      </c>
      <c r="AE12" s="196">
        <v>220.13046399999999</v>
      </c>
      <c r="AF12" s="196">
        <v>215.830725</v>
      </c>
      <c r="AG12" s="196">
        <v>218.59672399999999</v>
      </c>
      <c r="AH12" s="214">
        <v>239.55382499999999</v>
      </c>
      <c r="AI12" s="208">
        <f t="shared" si="2"/>
        <v>2320.0989920000002</v>
      </c>
      <c r="AJ12" s="197">
        <f t="shared" si="3"/>
        <v>4.0887793899017671E-2</v>
      </c>
    </row>
    <row r="13" spans="1:54">
      <c r="A13" s="199" t="s">
        <v>180</v>
      </c>
      <c r="B13" s="198">
        <v>78.165503000000001</v>
      </c>
      <c r="C13" s="198">
        <v>88.531268999999995</v>
      </c>
      <c r="D13" s="198">
        <v>101.950692</v>
      </c>
      <c r="E13" s="198">
        <v>92.780315000000002</v>
      </c>
      <c r="F13" s="198">
        <v>94.807770000000005</v>
      </c>
      <c r="G13" s="198">
        <v>92.722783000000007</v>
      </c>
      <c r="H13" s="198">
        <v>112.532211</v>
      </c>
      <c r="I13" s="198">
        <v>130.93514099999999</v>
      </c>
      <c r="J13" s="198">
        <v>152.88022799999999</v>
      </c>
      <c r="K13" s="198">
        <v>152.67407299999999</v>
      </c>
      <c r="L13" s="198">
        <v>173.90010899999999</v>
      </c>
      <c r="M13" s="198">
        <v>165.40684999999999</v>
      </c>
      <c r="N13" s="198">
        <v>181.10211000000001</v>
      </c>
      <c r="O13" s="198">
        <v>186.81940299999999</v>
      </c>
      <c r="P13" s="198">
        <v>224.58256499999999</v>
      </c>
      <c r="Q13" s="198">
        <v>231.977012</v>
      </c>
      <c r="R13" s="198">
        <v>198.95226500000001</v>
      </c>
      <c r="S13" s="198">
        <v>270.18821700000001</v>
      </c>
      <c r="T13" s="198">
        <v>276.08928600000002</v>
      </c>
      <c r="U13" s="198">
        <v>286.70755200000002</v>
      </c>
      <c r="V13" s="198">
        <v>293.67516599999999</v>
      </c>
      <c r="W13" s="198">
        <v>380.332086</v>
      </c>
      <c r="X13" s="198">
        <v>679.62847699999998</v>
      </c>
      <c r="Y13" s="198">
        <v>851.06961100000001</v>
      </c>
      <c r="Z13" s="198">
        <v>964.42994099999999</v>
      </c>
      <c r="AA13" s="198">
        <v>1946.717875</v>
      </c>
      <c r="AB13" s="198">
        <v>1495.438193</v>
      </c>
      <c r="AC13" s="198">
        <v>3358.6286759999998</v>
      </c>
      <c r="AD13" s="198">
        <v>3831.2677290000001</v>
      </c>
      <c r="AE13" s="198">
        <v>3654.716731</v>
      </c>
      <c r="AF13" s="198">
        <v>5307.5205509999996</v>
      </c>
      <c r="AG13" s="198">
        <v>4389.8428029999995</v>
      </c>
      <c r="AH13" s="215">
        <v>3472.765664</v>
      </c>
      <c r="AI13" s="211">
        <f t="shared" si="2"/>
        <v>33919.738856999997</v>
      </c>
      <c r="AJ13" s="304">
        <f t="shared" si="3"/>
        <v>0.59777763633178504</v>
      </c>
    </row>
    <row r="14" spans="1:54">
      <c r="A14" s="199" t="s">
        <v>100</v>
      </c>
      <c r="B14" s="196">
        <v>3.8021669999999999</v>
      </c>
      <c r="C14" s="196">
        <v>3.0626319999999998</v>
      </c>
      <c r="D14" s="196">
        <v>2.864655</v>
      </c>
      <c r="E14" s="196">
        <v>13.109394999999999</v>
      </c>
      <c r="F14" s="196">
        <v>12.221752</v>
      </c>
      <c r="G14" s="196">
        <v>12.055669999999999</v>
      </c>
      <c r="H14" s="196">
        <v>27.202476000000001</v>
      </c>
      <c r="I14" s="196">
        <v>27.289552</v>
      </c>
      <c r="J14" s="196">
        <v>30.985306000000001</v>
      </c>
      <c r="K14" s="196">
        <v>40.819425000000003</v>
      </c>
      <c r="L14" s="196">
        <v>40.201661999999999</v>
      </c>
      <c r="M14" s="196">
        <v>28.551514000000001</v>
      </c>
      <c r="N14" s="196">
        <v>37.972557000000002</v>
      </c>
      <c r="O14" s="196">
        <v>35.266731</v>
      </c>
      <c r="P14" s="196">
        <v>40.086339000000002</v>
      </c>
      <c r="Q14" s="196">
        <v>54.940671999999999</v>
      </c>
      <c r="R14" s="196">
        <v>62.496274999999997</v>
      </c>
      <c r="S14" s="196">
        <v>88.054636000000002</v>
      </c>
      <c r="T14" s="196">
        <v>62.636372000000001</v>
      </c>
      <c r="U14" s="196">
        <v>89.292743999999999</v>
      </c>
      <c r="V14" s="196">
        <v>45.022368999999998</v>
      </c>
      <c r="W14" s="196">
        <v>32.635114999999999</v>
      </c>
      <c r="X14" s="196">
        <v>48.225088</v>
      </c>
      <c r="Y14" s="196">
        <v>20.969208999999999</v>
      </c>
      <c r="Z14" s="196">
        <v>43.436045</v>
      </c>
      <c r="AA14" s="196">
        <v>18.838566</v>
      </c>
      <c r="AB14" s="196">
        <v>19.192682000000001</v>
      </c>
      <c r="AC14" s="196">
        <v>15.746836999999999</v>
      </c>
      <c r="AD14" s="196">
        <v>15.183261999999999</v>
      </c>
      <c r="AE14" s="196">
        <v>15.966746000000001</v>
      </c>
      <c r="AF14" s="196">
        <v>20.482859000000001</v>
      </c>
      <c r="AG14" s="196">
        <v>15.40889</v>
      </c>
      <c r="AH14" s="214">
        <v>18.324338000000001</v>
      </c>
      <c r="AI14" s="208">
        <f t="shared" si="2"/>
        <v>1042.3445379999998</v>
      </c>
      <c r="AJ14" s="197">
        <f t="shared" si="3"/>
        <v>1.8369547501407124E-2</v>
      </c>
    </row>
    <row r="15" spans="1:54">
      <c r="A15" s="199" t="s">
        <v>17</v>
      </c>
      <c r="B15" s="198">
        <v>4.6538279999999999</v>
      </c>
      <c r="C15" s="198">
        <v>5.7121950000000004</v>
      </c>
      <c r="D15" s="198">
        <v>6.0884090000000004</v>
      </c>
      <c r="E15" s="198">
        <v>4.4207879999999999</v>
      </c>
      <c r="F15" s="198">
        <v>3.8279879999999999</v>
      </c>
      <c r="G15" s="198">
        <v>9.6334750000000007</v>
      </c>
      <c r="H15" s="198">
        <v>10.114608</v>
      </c>
      <c r="I15" s="198">
        <v>10.724031</v>
      </c>
      <c r="J15" s="198">
        <v>11.131740000000001</v>
      </c>
      <c r="K15" s="198">
        <v>9.6005939999999992</v>
      </c>
      <c r="L15" s="198">
        <v>8.3045650000000002</v>
      </c>
      <c r="M15" s="198">
        <v>18.810777999999999</v>
      </c>
      <c r="N15" s="198">
        <v>25.296064999999999</v>
      </c>
      <c r="O15" s="198">
        <v>26.009848999999999</v>
      </c>
      <c r="P15" s="198">
        <v>24.456824000000001</v>
      </c>
      <c r="Q15" s="198">
        <v>21.464409</v>
      </c>
      <c r="R15" s="198">
        <v>36.312728999999997</v>
      </c>
      <c r="S15" s="198">
        <v>60.573799999999999</v>
      </c>
      <c r="T15" s="198">
        <v>49.266666999999998</v>
      </c>
      <c r="U15" s="198">
        <v>59.950943000000002</v>
      </c>
      <c r="V15" s="198">
        <v>72.781351000000001</v>
      </c>
      <c r="W15" s="198">
        <v>88.353630999999993</v>
      </c>
      <c r="X15" s="198">
        <v>82.677958000000004</v>
      </c>
      <c r="Y15" s="198">
        <v>177.750033</v>
      </c>
      <c r="Z15" s="198">
        <v>158.40464700000001</v>
      </c>
      <c r="AA15" s="198">
        <v>81.829168999999993</v>
      </c>
      <c r="AB15" s="198">
        <v>83.359667999999999</v>
      </c>
      <c r="AC15" s="198">
        <v>112.934304</v>
      </c>
      <c r="AD15" s="198">
        <v>89.827389999999994</v>
      </c>
      <c r="AE15" s="198">
        <v>92.813249999999996</v>
      </c>
      <c r="AF15" s="198">
        <v>78.290452000000002</v>
      </c>
      <c r="AG15" s="198">
        <v>82.878023999999996</v>
      </c>
      <c r="AH15" s="215">
        <v>54.093241999999996</v>
      </c>
      <c r="AI15" s="211">
        <f t="shared" si="2"/>
        <v>1662.3474040000001</v>
      </c>
      <c r="AJ15" s="304">
        <f t="shared" si="3"/>
        <v>2.9296042228235692E-2</v>
      </c>
    </row>
    <row r="16" spans="1:54">
      <c r="A16" s="199" t="s">
        <v>12</v>
      </c>
      <c r="B16" s="196">
        <v>7.6971400000000001</v>
      </c>
      <c r="C16" s="196">
        <v>9.6387029999999996</v>
      </c>
      <c r="D16" s="196">
        <v>9.9236059999999995</v>
      </c>
      <c r="E16" s="196">
        <v>10.540225</v>
      </c>
      <c r="F16" s="196">
        <v>12.132982999999999</v>
      </c>
      <c r="G16" s="196">
        <v>20.797429999999999</v>
      </c>
      <c r="H16" s="196">
        <v>34.349514999999997</v>
      </c>
      <c r="I16" s="196">
        <v>33.894790999999998</v>
      </c>
      <c r="J16" s="196">
        <v>29.315957999999998</v>
      </c>
      <c r="K16" s="196">
        <v>28.715039000000001</v>
      </c>
      <c r="L16" s="196">
        <v>30.737151000000001</v>
      </c>
      <c r="M16" s="196">
        <v>27.484829000000001</v>
      </c>
      <c r="N16" s="196">
        <v>30.194089000000002</v>
      </c>
      <c r="O16" s="196">
        <v>33.739736000000001</v>
      </c>
      <c r="P16" s="196">
        <v>36.247579999999999</v>
      </c>
      <c r="Q16" s="196">
        <v>39.138672</v>
      </c>
      <c r="R16" s="196">
        <v>40.738370000000003</v>
      </c>
      <c r="S16" s="196">
        <v>55.512739000000003</v>
      </c>
      <c r="T16" s="196">
        <v>61.408085</v>
      </c>
      <c r="U16" s="196">
        <v>54.952314000000001</v>
      </c>
      <c r="V16" s="196">
        <v>49.998033</v>
      </c>
      <c r="W16" s="196">
        <v>54.578682000000001</v>
      </c>
      <c r="X16" s="196">
        <v>64.090699999999998</v>
      </c>
      <c r="Y16" s="196">
        <v>83.444013999999996</v>
      </c>
      <c r="Z16" s="196">
        <v>80.535398000000001</v>
      </c>
      <c r="AA16" s="196">
        <v>75.982727999999994</v>
      </c>
      <c r="AB16" s="196">
        <v>61.860134000000002</v>
      </c>
      <c r="AC16" s="196">
        <v>66.136236999999994</v>
      </c>
      <c r="AD16" s="196">
        <v>68.320773000000003</v>
      </c>
      <c r="AE16" s="196">
        <v>65.114003999999994</v>
      </c>
      <c r="AF16" s="196">
        <v>70.419138000000004</v>
      </c>
      <c r="AG16" s="196">
        <v>77.738389999999995</v>
      </c>
      <c r="AH16" s="214">
        <v>84.323526000000001</v>
      </c>
      <c r="AI16" s="208">
        <f t="shared" si="2"/>
        <v>1509.7007119999996</v>
      </c>
      <c r="AJ16" s="197">
        <f t="shared" si="3"/>
        <v>2.6605904219735212E-2</v>
      </c>
    </row>
    <row r="17" spans="1:39">
      <c r="A17" s="199" t="s">
        <v>197</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v>77.128089000000003</v>
      </c>
      <c r="AG17" s="198">
        <v>67.389606000000001</v>
      </c>
      <c r="AH17" s="215">
        <v>59.238461000000001</v>
      </c>
      <c r="AI17" s="211">
        <f t="shared" si="2"/>
        <v>203.756156</v>
      </c>
      <c r="AJ17" s="304">
        <f t="shared" si="3"/>
        <v>3.5908552785510165E-3</v>
      </c>
    </row>
    <row r="18" spans="1:39" ht="15.75" thickBot="1">
      <c r="A18" s="199" t="s">
        <v>349</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v>21.110828000000001</v>
      </c>
      <c r="AA18" s="216">
        <v>26.681512999999999</v>
      </c>
      <c r="AB18" s="216">
        <v>22.008559000000002</v>
      </c>
      <c r="AC18" s="216">
        <v>19.937428000000001</v>
      </c>
      <c r="AD18" s="216">
        <v>19.220492</v>
      </c>
      <c r="AE18" s="216">
        <v>27.514333000000001</v>
      </c>
      <c r="AF18" s="216">
        <v>16.393497</v>
      </c>
      <c r="AG18" s="216">
        <v>11.965647000000001</v>
      </c>
      <c r="AH18" s="217">
        <v>16.818397000000001</v>
      </c>
      <c r="AI18" s="208">
        <f t="shared" si="2"/>
        <v>181.65069399999999</v>
      </c>
      <c r="AJ18" s="197">
        <f t="shared" si="3"/>
        <v>3.2012841536054274E-3</v>
      </c>
    </row>
    <row r="19" spans="1:39" ht="15.75" thickTop="1">
      <c r="A19" s="199" t="s">
        <v>199</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v>875.1</v>
      </c>
      <c r="AC19" s="198">
        <v>933.69310700000005</v>
      </c>
      <c r="AD19" s="198">
        <v>935.59844199999998</v>
      </c>
      <c r="AE19" s="198">
        <v>1019.886602</v>
      </c>
      <c r="AF19" s="198">
        <v>1106.892595</v>
      </c>
      <c r="AG19" s="198">
        <v>943.79589599999997</v>
      </c>
      <c r="AH19" s="198">
        <v>615.47500000000002</v>
      </c>
      <c r="AI19" s="211">
        <f t="shared" si="2"/>
        <v>6430.4416419999998</v>
      </c>
      <c r="AJ19" s="304">
        <f t="shared" si="3"/>
        <v>0.11332558371188532</v>
      </c>
      <c r="AM19" s="443"/>
    </row>
    <row r="20" spans="1:39" ht="15.75" thickBot="1">
      <c r="A20" s="199" t="s">
        <v>599</v>
      </c>
      <c r="B20" s="195">
        <f t="shared" ref="B20:AF20" si="4">SUM(B10:B18)</f>
        <v>118.109441</v>
      </c>
      <c r="C20" s="195">
        <f t="shared" si="4"/>
        <v>130.99427499999999</v>
      </c>
      <c r="D20" s="195">
        <f t="shared" si="4"/>
        <v>162.98166100000003</v>
      </c>
      <c r="E20" s="195">
        <f t="shared" si="4"/>
        <v>156.28186799999997</v>
      </c>
      <c r="F20" s="195">
        <f t="shared" si="4"/>
        <v>166.22599100000002</v>
      </c>
      <c r="G20" s="195">
        <f t="shared" si="4"/>
        <v>176.04352</v>
      </c>
      <c r="H20" s="195">
        <f t="shared" si="4"/>
        <v>264.22199699999999</v>
      </c>
      <c r="I20" s="195">
        <f t="shared" si="4"/>
        <v>324.41169400000001</v>
      </c>
      <c r="J20" s="195">
        <f t="shared" si="4"/>
        <v>344.88060499999995</v>
      </c>
      <c r="K20" s="195">
        <f t="shared" si="4"/>
        <v>349.08469300000002</v>
      </c>
      <c r="L20" s="195">
        <f t="shared" si="4"/>
        <v>359.36129999999997</v>
      </c>
      <c r="M20" s="195">
        <f t="shared" si="4"/>
        <v>390.48491200000001</v>
      </c>
      <c r="N20" s="195">
        <f t="shared" si="4"/>
        <v>485.96268900000001</v>
      </c>
      <c r="O20" s="195">
        <f t="shared" si="4"/>
        <v>560.82103699999993</v>
      </c>
      <c r="P20" s="195">
        <f t="shared" si="4"/>
        <v>622.23403999999994</v>
      </c>
      <c r="Q20" s="195">
        <f t="shared" si="4"/>
        <v>605.47205300000007</v>
      </c>
      <c r="R20" s="195">
        <f t="shared" si="4"/>
        <v>776.68228700000009</v>
      </c>
      <c r="S20" s="195">
        <f t="shared" si="4"/>
        <v>1136.325529</v>
      </c>
      <c r="T20" s="195">
        <f t="shared" si="4"/>
        <v>1028.124143</v>
      </c>
      <c r="U20" s="195">
        <f t="shared" si="4"/>
        <v>1138.9791880000002</v>
      </c>
      <c r="V20" s="195">
        <f t="shared" si="4"/>
        <v>1033.581989</v>
      </c>
      <c r="W20" s="195">
        <f t="shared" si="4"/>
        <v>1255.8838710000002</v>
      </c>
      <c r="X20" s="195">
        <f t="shared" si="4"/>
        <v>1736.5857649999998</v>
      </c>
      <c r="Y20" s="195">
        <f t="shared" si="4"/>
        <v>2092.6745330000003</v>
      </c>
      <c r="Z20" s="195">
        <f t="shared" si="4"/>
        <v>2296.6590069999997</v>
      </c>
      <c r="AA20" s="195">
        <f t="shared" si="4"/>
        <v>3239.6560489999997</v>
      </c>
      <c r="AB20" s="195">
        <f t="shared" si="4"/>
        <v>1964.0016410000003</v>
      </c>
      <c r="AC20" s="195">
        <f t="shared" si="4"/>
        <v>3937.885616</v>
      </c>
      <c r="AD20" s="195">
        <f t="shared" si="4"/>
        <v>4383.8680250000007</v>
      </c>
      <c r="AE20" s="195">
        <f t="shared" si="4"/>
        <v>4236.5471779999998</v>
      </c>
      <c r="AF20" s="195">
        <f t="shared" si="4"/>
        <v>5870.5672839999997</v>
      </c>
      <c r="AG20" s="195">
        <f>SUM(AG10:AG18)</f>
        <v>4944.9867539999987</v>
      </c>
      <c r="AH20" s="195">
        <f>SUM(AH10:AH18)</f>
        <v>4022.0487170000001</v>
      </c>
      <c r="AI20" s="209"/>
      <c r="AJ20" s="207"/>
    </row>
    <row r="21" spans="1:39" ht="16.5" thickTop="1" thickBot="1">
      <c r="A21" s="200" t="s">
        <v>600</v>
      </c>
      <c r="B21" s="201">
        <f t="shared" ref="B21:AH21" si="5">SUM(B19:B20)</f>
        <v>118.109441</v>
      </c>
      <c r="C21" s="201">
        <f t="shared" si="5"/>
        <v>130.99427499999999</v>
      </c>
      <c r="D21" s="201">
        <f t="shared" si="5"/>
        <v>162.98166100000003</v>
      </c>
      <c r="E21" s="201">
        <f t="shared" si="5"/>
        <v>156.28186799999997</v>
      </c>
      <c r="F21" s="201">
        <f t="shared" si="5"/>
        <v>166.22599100000002</v>
      </c>
      <c r="G21" s="201">
        <f t="shared" si="5"/>
        <v>176.04352</v>
      </c>
      <c r="H21" s="201">
        <f t="shared" si="5"/>
        <v>264.22199699999999</v>
      </c>
      <c r="I21" s="201">
        <f t="shared" si="5"/>
        <v>324.41169400000001</v>
      </c>
      <c r="J21" s="201">
        <f t="shared" si="5"/>
        <v>344.88060499999995</v>
      </c>
      <c r="K21" s="201">
        <f t="shared" si="5"/>
        <v>349.08469300000002</v>
      </c>
      <c r="L21" s="201">
        <f t="shared" si="5"/>
        <v>359.36129999999997</v>
      </c>
      <c r="M21" s="201">
        <f t="shared" si="5"/>
        <v>390.48491200000001</v>
      </c>
      <c r="N21" s="201">
        <f t="shared" si="5"/>
        <v>485.96268900000001</v>
      </c>
      <c r="O21" s="201">
        <f t="shared" si="5"/>
        <v>560.82103699999993</v>
      </c>
      <c r="P21" s="201">
        <f t="shared" si="5"/>
        <v>622.23403999999994</v>
      </c>
      <c r="Q21" s="201">
        <f t="shared" si="5"/>
        <v>605.47205300000007</v>
      </c>
      <c r="R21" s="201">
        <f t="shared" si="5"/>
        <v>776.68228700000009</v>
      </c>
      <c r="S21" s="201">
        <f t="shared" si="5"/>
        <v>1136.325529</v>
      </c>
      <c r="T21" s="201">
        <f t="shared" si="5"/>
        <v>1028.124143</v>
      </c>
      <c r="U21" s="201">
        <f t="shared" si="5"/>
        <v>1138.9791880000002</v>
      </c>
      <c r="V21" s="201">
        <f t="shared" si="5"/>
        <v>1033.581989</v>
      </c>
      <c r="W21" s="201">
        <f t="shared" si="5"/>
        <v>1255.8838710000002</v>
      </c>
      <c r="X21" s="201">
        <f t="shared" si="5"/>
        <v>1736.5857649999998</v>
      </c>
      <c r="Y21" s="201">
        <f t="shared" si="5"/>
        <v>2092.6745330000003</v>
      </c>
      <c r="Z21" s="201">
        <f t="shared" si="5"/>
        <v>2296.6590069999997</v>
      </c>
      <c r="AA21" s="201">
        <f t="shared" si="5"/>
        <v>3239.6560489999997</v>
      </c>
      <c r="AB21" s="201">
        <f t="shared" si="5"/>
        <v>2839.1016410000002</v>
      </c>
      <c r="AC21" s="201">
        <f t="shared" si="5"/>
        <v>4871.5787230000005</v>
      </c>
      <c r="AD21" s="201">
        <f t="shared" si="5"/>
        <v>5319.4664670000002</v>
      </c>
      <c r="AE21" s="201">
        <f t="shared" si="5"/>
        <v>5256.4337799999994</v>
      </c>
      <c r="AF21" s="201">
        <f t="shared" si="5"/>
        <v>6977.459879</v>
      </c>
      <c r="AG21" s="201">
        <f t="shared" si="5"/>
        <v>5888.7826499999983</v>
      </c>
      <c r="AH21" s="201">
        <f t="shared" si="5"/>
        <v>4637.523717</v>
      </c>
      <c r="AI21" s="210">
        <f>SUM(B21:AH21)</f>
        <v>56743.070994000009</v>
      </c>
      <c r="AJ21" s="524">
        <f>AI21/AI$21</f>
        <v>1</v>
      </c>
    </row>
    <row r="22" spans="1:39" s="85" customFormat="1">
      <c r="A22" s="190"/>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3"/>
      <c r="AG22" s="192"/>
      <c r="AH22" s="192"/>
      <c r="AI22" s="192"/>
      <c r="AJ22" s="191"/>
    </row>
    <row r="23" spans="1:39" ht="15.75" thickBot="1">
      <c r="A23" s="357" t="s">
        <v>601</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row>
    <row r="24" spans="1:39">
      <c r="A24" s="651" t="s">
        <v>177</v>
      </c>
      <c r="B24" s="212">
        <v>1984</v>
      </c>
      <c r="C24" s="212">
        <v>1985</v>
      </c>
      <c r="D24" s="212">
        <v>1986</v>
      </c>
      <c r="E24" s="212">
        <v>1987</v>
      </c>
      <c r="F24" s="212">
        <v>1988</v>
      </c>
      <c r="G24" s="212">
        <v>1989</v>
      </c>
      <c r="H24" s="212">
        <v>1990</v>
      </c>
      <c r="I24" s="212">
        <v>1991</v>
      </c>
      <c r="J24" s="212">
        <v>1992</v>
      </c>
      <c r="K24" s="212">
        <v>1993</v>
      </c>
      <c r="L24" s="212">
        <v>1994</v>
      </c>
      <c r="M24" s="212">
        <v>1995</v>
      </c>
      <c r="N24" s="212">
        <v>1996</v>
      </c>
      <c r="O24" s="212">
        <v>1997</v>
      </c>
      <c r="P24" s="212">
        <v>1998</v>
      </c>
      <c r="Q24" s="212">
        <v>1999</v>
      </c>
      <c r="R24" s="212">
        <v>2000</v>
      </c>
      <c r="S24" s="212">
        <v>2001</v>
      </c>
      <c r="T24" s="212">
        <v>2002</v>
      </c>
      <c r="U24" s="212">
        <v>2003</v>
      </c>
      <c r="V24" s="212">
        <v>2004</v>
      </c>
      <c r="W24" s="212">
        <v>2005</v>
      </c>
      <c r="X24" s="212">
        <v>2006</v>
      </c>
      <c r="Y24" s="212">
        <v>2007</v>
      </c>
      <c r="Z24" s="212">
        <v>2008</v>
      </c>
      <c r="AA24" s="212">
        <v>2009</v>
      </c>
      <c r="AB24" s="212">
        <v>2010</v>
      </c>
      <c r="AC24" s="212">
        <v>2011</v>
      </c>
      <c r="AD24" s="212">
        <v>2012</v>
      </c>
      <c r="AE24" s="212">
        <v>2013</v>
      </c>
      <c r="AF24" s="212">
        <v>2014</v>
      </c>
      <c r="AG24" s="212">
        <v>2015</v>
      </c>
      <c r="AH24" s="212">
        <v>2016</v>
      </c>
      <c r="AI24" s="655" t="s">
        <v>602</v>
      </c>
      <c r="AJ24" s="656"/>
    </row>
    <row r="25" spans="1:39">
      <c r="A25" s="652"/>
      <c r="B25" s="186" t="s">
        <v>235</v>
      </c>
      <c r="C25" s="186" t="s">
        <v>235</v>
      </c>
      <c r="D25" s="186" t="s">
        <v>235</v>
      </c>
      <c r="E25" s="187" t="s">
        <v>235</v>
      </c>
      <c r="F25" s="186" t="s">
        <v>235</v>
      </c>
      <c r="G25" s="187" t="s">
        <v>235</v>
      </c>
      <c r="H25" s="186" t="s">
        <v>235</v>
      </c>
      <c r="I25" s="187" t="s">
        <v>235</v>
      </c>
      <c r="J25" s="186" t="s">
        <v>235</v>
      </c>
      <c r="K25" s="187" t="s">
        <v>235</v>
      </c>
      <c r="L25" s="187" t="s">
        <v>235</v>
      </c>
      <c r="M25" s="187" t="s">
        <v>235</v>
      </c>
      <c r="N25" s="187" t="s">
        <v>235</v>
      </c>
      <c r="O25" s="187" t="s">
        <v>235</v>
      </c>
      <c r="P25" s="188" t="s">
        <v>235</v>
      </c>
      <c r="Q25" s="188" t="s">
        <v>235</v>
      </c>
      <c r="R25" s="220" t="s">
        <v>235</v>
      </c>
      <c r="S25" s="220" t="s">
        <v>235</v>
      </c>
      <c r="T25" s="220" t="s">
        <v>235</v>
      </c>
      <c r="U25" s="220" t="s">
        <v>235</v>
      </c>
      <c r="V25" s="220" t="s">
        <v>235</v>
      </c>
      <c r="W25" s="220" t="s">
        <v>235</v>
      </c>
      <c r="X25" s="220" t="s">
        <v>235</v>
      </c>
      <c r="Y25" s="220" t="s">
        <v>235</v>
      </c>
      <c r="Z25" s="221" t="s">
        <v>235</v>
      </c>
      <c r="AA25" s="221" t="s">
        <v>235</v>
      </c>
      <c r="AB25" s="221" t="s">
        <v>235</v>
      </c>
      <c r="AC25" s="221" t="s">
        <v>235</v>
      </c>
      <c r="AD25" s="221" t="s">
        <v>235</v>
      </c>
      <c r="AE25" s="221" t="s">
        <v>235</v>
      </c>
      <c r="AF25" s="221" t="s">
        <v>235</v>
      </c>
      <c r="AG25" s="221" t="s">
        <v>235</v>
      </c>
      <c r="AH25" s="221" t="s">
        <v>235</v>
      </c>
      <c r="AI25" s="218"/>
      <c r="AJ25" s="219"/>
    </row>
    <row r="26" spans="1:39">
      <c r="A26" s="199" t="s">
        <v>103</v>
      </c>
      <c r="B26" s="196">
        <v>7.3000670000000003</v>
      </c>
      <c r="C26" s="196">
        <v>8.2229519999999994</v>
      </c>
      <c r="D26" s="196">
        <v>7.8940830000000002</v>
      </c>
      <c r="E26" s="196">
        <v>8.8009199999999996</v>
      </c>
      <c r="F26" s="196">
        <v>17.862929999999999</v>
      </c>
      <c r="G26" s="196">
        <v>25.917968999999999</v>
      </c>
      <c r="H26" s="196">
        <v>27.917249999999999</v>
      </c>
      <c r="I26" s="196">
        <v>31.605571000000001</v>
      </c>
      <c r="J26" s="196">
        <v>36.102908999999997</v>
      </c>
      <c r="K26" s="196">
        <v>33.744779999999999</v>
      </c>
      <c r="L26" s="196">
        <v>33.088425000000001</v>
      </c>
      <c r="M26" s="196">
        <v>48.087128</v>
      </c>
      <c r="N26" s="196">
        <v>50.255875000000003</v>
      </c>
      <c r="O26" s="196">
        <v>48.443001000000002</v>
      </c>
      <c r="P26" s="196">
        <v>55.097645999999997</v>
      </c>
      <c r="Q26" s="196">
        <v>56.511277</v>
      </c>
      <c r="R26" s="196">
        <v>67.244718000000006</v>
      </c>
      <c r="S26" s="196">
        <v>76.107667000000006</v>
      </c>
      <c r="T26" s="196">
        <v>75.554355000000001</v>
      </c>
      <c r="U26" s="196">
        <v>77.110478000000001</v>
      </c>
      <c r="V26" s="196">
        <v>76.127526000000003</v>
      </c>
      <c r="W26" s="196">
        <v>84.339597999999995</v>
      </c>
      <c r="X26" s="196">
        <v>122.036845</v>
      </c>
      <c r="Y26" s="196">
        <v>183.56032400000001</v>
      </c>
      <c r="Z26" s="196">
        <v>147.95616899999999</v>
      </c>
      <c r="AA26" s="196">
        <v>85.733526999999995</v>
      </c>
      <c r="AB26" s="196">
        <v>106.02801599999999</v>
      </c>
      <c r="AC26" s="196">
        <v>139.40100200000001</v>
      </c>
      <c r="AD26" s="196">
        <v>136.91198199999999</v>
      </c>
      <c r="AE26" s="196">
        <v>142.803504</v>
      </c>
      <c r="AF26" s="196">
        <v>72.087712999999994</v>
      </c>
      <c r="AG26" s="196">
        <v>76.166966000000002</v>
      </c>
      <c r="AH26" s="214">
        <v>60.905515700000002</v>
      </c>
      <c r="AI26" s="208">
        <f t="shared" ref="AI26:AI35" si="6">SUM(B26:AH26)</f>
        <v>2226.9286887000003</v>
      </c>
      <c r="AJ26" s="197">
        <f t="shared" ref="AJ26:AJ35" si="7">AI26/AI$37</f>
        <v>3.7629530036777326E-2</v>
      </c>
    </row>
    <row r="27" spans="1:39">
      <c r="A27" s="199" t="s">
        <v>232</v>
      </c>
      <c r="B27" s="198">
        <v>17.840906</v>
      </c>
      <c r="C27" s="198">
        <v>20.821733999999999</v>
      </c>
      <c r="D27" s="198">
        <v>31.243739000000001</v>
      </c>
      <c r="E27" s="198">
        <v>29.930962999999998</v>
      </c>
      <c r="F27" s="198">
        <v>28.430859000000002</v>
      </c>
      <c r="G27" s="198">
        <v>25.391576000000001</v>
      </c>
      <c r="H27" s="198">
        <v>85.807862</v>
      </c>
      <c r="I27" s="198">
        <v>88.291780000000003</v>
      </c>
      <c r="J27" s="198">
        <v>82.862410999999994</v>
      </c>
      <c r="K27" s="198">
        <v>77.885557000000006</v>
      </c>
      <c r="L27" s="198">
        <v>84.194806999999997</v>
      </c>
      <c r="M27" s="198">
        <v>154.57946999999999</v>
      </c>
      <c r="N27" s="198">
        <v>166.151815</v>
      </c>
      <c r="O27" s="198">
        <v>236.83548300000001</v>
      </c>
      <c r="P27" s="198">
        <v>228.77493999999999</v>
      </c>
      <c r="Q27" s="198">
        <v>190.128231</v>
      </c>
      <c r="R27" s="198">
        <v>510.72407299999998</v>
      </c>
      <c r="S27" s="198">
        <v>494.45031999999998</v>
      </c>
      <c r="T27" s="198">
        <v>438.49728499999998</v>
      </c>
      <c r="U27" s="198">
        <v>441.346858</v>
      </c>
      <c r="V27" s="198">
        <v>489.335936</v>
      </c>
      <c r="W27" s="198">
        <v>624.69057399999997</v>
      </c>
      <c r="X27" s="198">
        <v>700.83078899999998</v>
      </c>
      <c r="Y27" s="198">
        <v>737.11452199999997</v>
      </c>
      <c r="Z27" s="198">
        <v>929.25872200000003</v>
      </c>
      <c r="AA27" s="198">
        <v>17.851848</v>
      </c>
      <c r="AB27" s="198">
        <v>22.882171</v>
      </c>
      <c r="AC27" s="198">
        <v>21.987487999999999</v>
      </c>
      <c r="AD27" s="198">
        <v>17.220538999999999</v>
      </c>
      <c r="AE27" s="198">
        <v>14.427177</v>
      </c>
      <c r="AF27" s="198">
        <v>11.123224</v>
      </c>
      <c r="AG27" s="198">
        <v>8.9851310000000009</v>
      </c>
      <c r="AH27" s="215">
        <v>3.4196119999999999</v>
      </c>
      <c r="AI27" s="211">
        <f t="shared" si="6"/>
        <v>7033.318401999999</v>
      </c>
      <c r="AJ27" s="304">
        <f t="shared" si="7"/>
        <v>0.11884550565504493</v>
      </c>
    </row>
    <row r="28" spans="1:39">
      <c r="A28" s="322" t="s">
        <v>15</v>
      </c>
      <c r="B28" s="196">
        <v>7.2142999999999999E-2</v>
      </c>
      <c r="C28" s="196">
        <v>9.2987E-2</v>
      </c>
      <c r="D28" s="196">
        <v>0.10014199999999999</v>
      </c>
      <c r="E28" s="196">
        <v>0.13852200000000001</v>
      </c>
      <c r="F28" s="196">
        <v>0.15553400000000001</v>
      </c>
      <c r="G28" s="196">
        <v>0.21237300000000001</v>
      </c>
      <c r="H28" s="196">
        <v>0.22845599999999999</v>
      </c>
      <c r="I28" s="196">
        <v>0.28478999999999999</v>
      </c>
      <c r="J28" s="196">
        <v>0.21290799999999999</v>
      </c>
      <c r="K28" s="196">
        <v>0.27401599999999998</v>
      </c>
      <c r="L28" s="196">
        <v>0.35212700000000002</v>
      </c>
      <c r="M28" s="196">
        <v>0.37231199999999998</v>
      </c>
      <c r="N28" s="196">
        <v>0.37588500000000002</v>
      </c>
      <c r="O28" s="196">
        <v>0.43601200000000001</v>
      </c>
      <c r="P28" s="196">
        <v>9.2709379999999992</v>
      </c>
      <c r="Q28" s="196">
        <v>35.152990000000003</v>
      </c>
      <c r="R28" s="196">
        <v>43.866770000000002</v>
      </c>
      <c r="S28" s="196">
        <v>79.146827000000002</v>
      </c>
      <c r="T28" s="196">
        <v>81.952568999999997</v>
      </c>
      <c r="U28" s="196">
        <v>83.599621999999997</v>
      </c>
      <c r="V28" s="196">
        <v>74.334581999999997</v>
      </c>
      <c r="W28" s="196">
        <v>74.081029999999998</v>
      </c>
      <c r="X28" s="196">
        <v>96.783541999999997</v>
      </c>
      <c r="Y28" s="196">
        <v>100.58320399999999</v>
      </c>
      <c r="Z28" s="196">
        <v>99.877858000000003</v>
      </c>
      <c r="AA28" s="196">
        <v>139.58882</v>
      </c>
      <c r="AB28" s="196">
        <v>175.68911299999999</v>
      </c>
      <c r="AC28" s="196">
        <v>210.97038499999999</v>
      </c>
      <c r="AD28" s="196">
        <v>218.91829100000001</v>
      </c>
      <c r="AE28" s="196">
        <v>222.800476</v>
      </c>
      <c r="AF28" s="196">
        <v>216.55936</v>
      </c>
      <c r="AG28" s="196">
        <v>228.700818</v>
      </c>
      <c r="AH28" s="214">
        <v>254.83357000000001</v>
      </c>
      <c r="AI28" s="208">
        <f t="shared" si="6"/>
        <v>2450.0189719999998</v>
      </c>
      <c r="AJ28" s="197">
        <f t="shared" si="7"/>
        <v>4.1399198351235594E-2</v>
      </c>
    </row>
    <row r="29" spans="1:39">
      <c r="A29" s="199" t="s">
        <v>180</v>
      </c>
      <c r="B29" s="198">
        <v>84.053077999999999</v>
      </c>
      <c r="C29" s="198">
        <v>94.497727999999995</v>
      </c>
      <c r="D29" s="198">
        <v>102.414688</v>
      </c>
      <c r="E29" s="198">
        <v>89.274396999999993</v>
      </c>
      <c r="F29" s="198">
        <v>99.783895999999999</v>
      </c>
      <c r="G29" s="198">
        <v>102.392765</v>
      </c>
      <c r="H29" s="198">
        <v>111.80137999999999</v>
      </c>
      <c r="I29" s="198">
        <v>144.74190200000001</v>
      </c>
      <c r="J29" s="198">
        <v>151.445144</v>
      </c>
      <c r="K29" s="198">
        <v>182.85987900000001</v>
      </c>
      <c r="L29" s="198">
        <v>164.83283399999999</v>
      </c>
      <c r="M29" s="198">
        <v>179.175207</v>
      </c>
      <c r="N29" s="198">
        <v>177.67747900000001</v>
      </c>
      <c r="O29" s="198">
        <v>206.98787400000001</v>
      </c>
      <c r="P29" s="198">
        <v>235.06343699999999</v>
      </c>
      <c r="Q29" s="198">
        <v>204.971947</v>
      </c>
      <c r="R29" s="198">
        <v>232.69292999999999</v>
      </c>
      <c r="S29" s="198">
        <v>285.62792400000001</v>
      </c>
      <c r="T29" s="198">
        <v>272.49998399999998</v>
      </c>
      <c r="U29" s="198">
        <v>290.64790399999998</v>
      </c>
      <c r="V29" s="198">
        <v>330.19448699999998</v>
      </c>
      <c r="W29" s="198">
        <v>534.95757700000001</v>
      </c>
      <c r="X29" s="198">
        <v>774.77279499999997</v>
      </c>
      <c r="Y29" s="198">
        <v>830.41280200000006</v>
      </c>
      <c r="Z29" s="198">
        <v>1518.472327</v>
      </c>
      <c r="AA29" s="198">
        <v>1701.6030490000001</v>
      </c>
      <c r="AB29" s="198">
        <v>2394.704119</v>
      </c>
      <c r="AC29" s="198">
        <v>3785.1195250000001</v>
      </c>
      <c r="AD29" s="198">
        <v>3535.4177709999999</v>
      </c>
      <c r="AE29" s="198">
        <v>4344.0157790000003</v>
      </c>
      <c r="AF29" s="198">
        <v>5226.5965159999996</v>
      </c>
      <c r="AG29" s="198">
        <v>3863.4417410000001</v>
      </c>
      <c r="AH29" s="215">
        <v>3642.5035309999998</v>
      </c>
      <c r="AI29" s="211">
        <f t="shared" si="6"/>
        <v>35895.654395999998</v>
      </c>
      <c r="AJ29" s="304">
        <f t="shared" si="7"/>
        <v>0.60654686076749531</v>
      </c>
    </row>
    <row r="30" spans="1:39">
      <c r="A30" s="199" t="s">
        <v>100</v>
      </c>
      <c r="B30" s="196">
        <v>3.4508830000000001</v>
      </c>
      <c r="C30" s="196">
        <v>2.1567259999999999</v>
      </c>
      <c r="D30" s="196">
        <v>7.474564</v>
      </c>
      <c r="E30" s="196">
        <v>14.522383</v>
      </c>
      <c r="F30" s="196">
        <v>9.9715330000000009</v>
      </c>
      <c r="G30" s="196">
        <v>17.415032</v>
      </c>
      <c r="H30" s="196">
        <v>31.173756999999998</v>
      </c>
      <c r="I30" s="196">
        <v>20.363022000000001</v>
      </c>
      <c r="J30" s="196">
        <v>42.342416999999998</v>
      </c>
      <c r="K30" s="196">
        <v>40.152290000000001</v>
      </c>
      <c r="L30" s="196">
        <v>39.937640999999999</v>
      </c>
      <c r="M30" s="196">
        <v>32.381880000000002</v>
      </c>
      <c r="N30" s="196">
        <v>34.781689999999998</v>
      </c>
      <c r="O30" s="196">
        <v>36.098081000000001</v>
      </c>
      <c r="P30" s="196">
        <v>45.192711000000003</v>
      </c>
      <c r="Q30" s="196">
        <v>53.713093999999998</v>
      </c>
      <c r="R30" s="196">
        <v>65.775672999999998</v>
      </c>
      <c r="S30" s="196">
        <v>84.697851</v>
      </c>
      <c r="T30" s="196">
        <v>77.106520000000003</v>
      </c>
      <c r="U30" s="196">
        <v>72.794516999999999</v>
      </c>
      <c r="V30" s="196">
        <v>36.539966</v>
      </c>
      <c r="W30" s="196">
        <v>50.335666000000003</v>
      </c>
      <c r="X30" s="196">
        <v>27.687850000000001</v>
      </c>
      <c r="Y30" s="196">
        <v>33.182993000000003</v>
      </c>
      <c r="Z30" s="196">
        <v>30.998567999999999</v>
      </c>
      <c r="AA30" s="196">
        <v>18.332882999999999</v>
      </c>
      <c r="AB30" s="196">
        <v>15.818955000000001</v>
      </c>
      <c r="AC30" s="196">
        <v>13.509606</v>
      </c>
      <c r="AD30" s="196">
        <v>16.194434000000001</v>
      </c>
      <c r="AE30" s="196">
        <v>18.137585000000001</v>
      </c>
      <c r="AF30" s="196">
        <v>19.137695999999998</v>
      </c>
      <c r="AG30" s="196">
        <v>15.963969000000001</v>
      </c>
      <c r="AH30" s="214">
        <v>15.668355999999999</v>
      </c>
      <c r="AI30" s="208">
        <f t="shared" si="6"/>
        <v>1043.0107919999998</v>
      </c>
      <c r="AJ30" s="197">
        <f t="shared" si="7"/>
        <v>1.7624276037845853E-2</v>
      </c>
    </row>
    <row r="31" spans="1:39">
      <c r="A31" s="199" t="s">
        <v>17</v>
      </c>
      <c r="B31" s="198">
        <v>3.9682089999999999</v>
      </c>
      <c r="C31" s="198">
        <v>5.0308330000000003</v>
      </c>
      <c r="D31" s="198">
        <v>5.8192750000000002</v>
      </c>
      <c r="E31" s="198">
        <v>3.3647079999999998</v>
      </c>
      <c r="F31" s="198">
        <v>6.5740340000000002</v>
      </c>
      <c r="G31" s="198">
        <v>10.694293</v>
      </c>
      <c r="H31" s="198">
        <v>9.9092339999999997</v>
      </c>
      <c r="I31" s="198">
        <v>10.082058</v>
      </c>
      <c r="J31" s="198">
        <v>10.846182000000001</v>
      </c>
      <c r="K31" s="198">
        <v>8.1570459999999994</v>
      </c>
      <c r="L31" s="198">
        <v>10.872023</v>
      </c>
      <c r="M31" s="198">
        <v>22.481707</v>
      </c>
      <c r="N31" s="198">
        <v>24.375886000000001</v>
      </c>
      <c r="O31" s="198">
        <v>21.581045</v>
      </c>
      <c r="P31" s="198">
        <v>24.60351</v>
      </c>
      <c r="Q31" s="198">
        <v>20.268521</v>
      </c>
      <c r="R31" s="198">
        <v>51.541488000000001</v>
      </c>
      <c r="S31" s="198">
        <v>53.134321999999997</v>
      </c>
      <c r="T31" s="198">
        <v>46.654437000000001</v>
      </c>
      <c r="U31" s="198">
        <v>63.881419000000001</v>
      </c>
      <c r="V31" s="198">
        <v>82.189510999999996</v>
      </c>
      <c r="W31" s="198">
        <v>87.554131999999996</v>
      </c>
      <c r="X31" s="198">
        <v>117.65648</v>
      </c>
      <c r="Y31" s="198">
        <v>197.97207599999999</v>
      </c>
      <c r="Z31" s="198">
        <v>116.720356</v>
      </c>
      <c r="AA31" s="198">
        <v>67.742963000000003</v>
      </c>
      <c r="AB31" s="198">
        <v>100.73661300000001</v>
      </c>
      <c r="AC31" s="198">
        <v>103.02030999999999</v>
      </c>
      <c r="AD31" s="198">
        <v>94.532049999999998</v>
      </c>
      <c r="AE31" s="198">
        <v>84.413621000000006</v>
      </c>
      <c r="AF31" s="198">
        <v>84.339056999999997</v>
      </c>
      <c r="AG31" s="198">
        <v>66.572766000000001</v>
      </c>
      <c r="AH31" s="215">
        <v>47.413266</v>
      </c>
      <c r="AI31" s="211">
        <f t="shared" si="6"/>
        <v>1664.7034309999999</v>
      </c>
      <c r="AJ31" s="304">
        <f t="shared" si="7"/>
        <v>2.8129328108709616E-2</v>
      </c>
    </row>
    <row r="32" spans="1:39">
      <c r="A32" s="199" t="s">
        <v>12</v>
      </c>
      <c r="B32" s="196">
        <v>8.8597769999999993</v>
      </c>
      <c r="C32" s="196">
        <v>9.9765149999999991</v>
      </c>
      <c r="D32" s="196">
        <v>10.368378</v>
      </c>
      <c r="E32" s="196">
        <v>10.484702</v>
      </c>
      <c r="F32" s="196">
        <v>15.693844</v>
      </c>
      <c r="G32" s="196">
        <v>28.799883000000001</v>
      </c>
      <c r="H32" s="196">
        <v>34.945118000000001</v>
      </c>
      <c r="I32" s="196">
        <v>30.697526</v>
      </c>
      <c r="J32" s="196">
        <v>28.084012000000001</v>
      </c>
      <c r="K32" s="196">
        <v>30.723077</v>
      </c>
      <c r="L32" s="196">
        <v>29.077739000000001</v>
      </c>
      <c r="M32" s="196">
        <v>28.353370999999999</v>
      </c>
      <c r="N32" s="196">
        <v>31.598661</v>
      </c>
      <c r="O32" s="196">
        <v>34.568199</v>
      </c>
      <c r="P32" s="196">
        <v>38.281457000000003</v>
      </c>
      <c r="Q32" s="196">
        <v>39.021614999999997</v>
      </c>
      <c r="R32" s="196">
        <v>47.244112000000001</v>
      </c>
      <c r="S32" s="196">
        <v>62.545602000000002</v>
      </c>
      <c r="T32" s="196">
        <v>57.229191999999998</v>
      </c>
      <c r="U32" s="196">
        <v>51.081237999999999</v>
      </c>
      <c r="V32" s="196">
        <v>52.514256000000003</v>
      </c>
      <c r="W32" s="196">
        <v>57.283451999999997</v>
      </c>
      <c r="X32" s="196">
        <v>74.832357000000002</v>
      </c>
      <c r="Y32" s="196">
        <v>85.152337000000003</v>
      </c>
      <c r="Z32" s="196">
        <v>78.222581000000005</v>
      </c>
      <c r="AA32" s="196">
        <v>66.627260000000007</v>
      </c>
      <c r="AB32" s="196">
        <v>64.564846000000003</v>
      </c>
      <c r="AC32" s="196">
        <v>68.402558999999997</v>
      </c>
      <c r="AD32" s="196">
        <v>65.293682000000004</v>
      </c>
      <c r="AE32" s="196">
        <v>66.744770000000003</v>
      </c>
      <c r="AF32" s="196">
        <v>71.724530999999999</v>
      </c>
      <c r="AG32" s="196">
        <v>87.731436000000002</v>
      </c>
      <c r="AH32" s="214">
        <v>77.258852000000005</v>
      </c>
      <c r="AI32" s="208">
        <f t="shared" si="6"/>
        <v>1543.9869370000001</v>
      </c>
      <c r="AJ32" s="197">
        <f t="shared" si="7"/>
        <v>2.608952101477021E-2</v>
      </c>
    </row>
    <row r="33" spans="1:38">
      <c r="A33" s="199" t="s">
        <v>197</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v>71.060969999999998</v>
      </c>
      <c r="AG33" s="198">
        <v>69.357085999999995</v>
      </c>
      <c r="AH33" s="215">
        <v>50.729916000000003</v>
      </c>
      <c r="AI33" s="211">
        <f t="shared" si="6"/>
        <v>191.14797199999998</v>
      </c>
      <c r="AJ33" s="304">
        <f t="shared" si="7"/>
        <v>3.229923073128116E-3</v>
      </c>
    </row>
    <row r="34" spans="1:38" ht="15.75" thickBot="1">
      <c r="A34" s="199" t="s">
        <v>349</v>
      </c>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v>21.462494</v>
      </c>
      <c r="AB34" s="216">
        <v>24.355874</v>
      </c>
      <c r="AC34" s="216">
        <v>19.222522999999999</v>
      </c>
      <c r="AD34" s="216">
        <v>25.124566000000002</v>
      </c>
      <c r="AE34" s="216">
        <v>20.032661000000001</v>
      </c>
      <c r="AF34" s="216">
        <v>13.867438999999999</v>
      </c>
      <c r="AG34" s="216">
        <v>12.902158</v>
      </c>
      <c r="AH34" s="217">
        <v>17.110662000000001</v>
      </c>
      <c r="AI34" s="208">
        <f t="shared" si="6"/>
        <v>154.07837699999999</v>
      </c>
      <c r="AJ34" s="197">
        <f t="shared" si="7"/>
        <v>2.6035395496763754E-3</v>
      </c>
    </row>
    <row r="35" spans="1:38" ht="15.75" thickTop="1">
      <c r="A35" s="199" t="s">
        <v>199</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v>673.84336599999995</v>
      </c>
      <c r="AB35" s="198">
        <v>962.19831699999997</v>
      </c>
      <c r="AC35" s="198">
        <v>927.12396799999999</v>
      </c>
      <c r="AD35" s="198">
        <v>985.83227699999998</v>
      </c>
      <c r="AE35" s="198">
        <v>1039.1903070000001</v>
      </c>
      <c r="AF35" s="198">
        <v>1079.461374</v>
      </c>
      <c r="AG35" s="198">
        <v>742.80582800000002</v>
      </c>
      <c r="AH35" s="198">
        <v>567.04475600000001</v>
      </c>
      <c r="AI35" s="211">
        <f t="shared" si="6"/>
        <v>6977.5001930000008</v>
      </c>
      <c r="AJ35" s="304">
        <f t="shared" si="7"/>
        <v>0.11790231740531669</v>
      </c>
    </row>
    <row r="36" spans="1:38" ht="15.75" thickBot="1">
      <c r="A36" s="199" t="s">
        <v>599</v>
      </c>
      <c r="B36" s="195">
        <f t="shared" ref="B36:AF36" si="8">SUM(B26:B34)</f>
        <v>125.545063</v>
      </c>
      <c r="C36" s="195">
        <f t="shared" si="8"/>
        <v>140.799475</v>
      </c>
      <c r="D36" s="195">
        <f t="shared" si="8"/>
        <v>165.31486899999999</v>
      </c>
      <c r="E36" s="195">
        <f t="shared" si="8"/>
        <v>156.516595</v>
      </c>
      <c r="F36" s="195">
        <f t="shared" si="8"/>
        <v>178.47263000000004</v>
      </c>
      <c r="G36" s="195">
        <f t="shared" si="8"/>
        <v>210.82389099999997</v>
      </c>
      <c r="H36" s="195">
        <f t="shared" si="8"/>
        <v>301.78305699999999</v>
      </c>
      <c r="I36" s="195">
        <f t="shared" si="8"/>
        <v>326.06664899999998</v>
      </c>
      <c r="J36" s="195">
        <f t="shared" si="8"/>
        <v>351.895983</v>
      </c>
      <c r="K36" s="195">
        <f t="shared" si="8"/>
        <v>373.79664499999996</v>
      </c>
      <c r="L36" s="195">
        <f t="shared" si="8"/>
        <v>362.35559599999999</v>
      </c>
      <c r="M36" s="195">
        <f t="shared" si="8"/>
        <v>465.43107500000002</v>
      </c>
      <c r="N36" s="195">
        <f t="shared" si="8"/>
        <v>485.21729099999999</v>
      </c>
      <c r="O36" s="195">
        <f t="shared" si="8"/>
        <v>584.94969500000002</v>
      </c>
      <c r="P36" s="195">
        <f t="shared" si="8"/>
        <v>636.28463900000008</v>
      </c>
      <c r="Q36" s="195">
        <f t="shared" si="8"/>
        <v>599.76767499999994</v>
      </c>
      <c r="R36" s="195">
        <f t="shared" si="8"/>
        <v>1019.0897639999999</v>
      </c>
      <c r="S36" s="195">
        <f t="shared" si="8"/>
        <v>1135.710513</v>
      </c>
      <c r="T36" s="195">
        <f t="shared" si="8"/>
        <v>1049.494342</v>
      </c>
      <c r="U36" s="195">
        <f t="shared" si="8"/>
        <v>1080.4620359999999</v>
      </c>
      <c r="V36" s="195">
        <f t="shared" si="8"/>
        <v>1141.2362639999999</v>
      </c>
      <c r="W36" s="195">
        <f t="shared" si="8"/>
        <v>1513.242029</v>
      </c>
      <c r="X36" s="195">
        <f t="shared" si="8"/>
        <v>1914.6006580000001</v>
      </c>
      <c r="Y36" s="195">
        <f t="shared" si="8"/>
        <v>2167.9782580000001</v>
      </c>
      <c r="Z36" s="195">
        <f t="shared" si="8"/>
        <v>2921.5065809999996</v>
      </c>
      <c r="AA36" s="195">
        <f t="shared" si="8"/>
        <v>2118.9428440000002</v>
      </c>
      <c r="AB36" s="195">
        <f t="shared" si="8"/>
        <v>2904.7797070000001</v>
      </c>
      <c r="AC36" s="195">
        <f t="shared" si="8"/>
        <v>4361.6333979999999</v>
      </c>
      <c r="AD36" s="195">
        <f t="shared" si="8"/>
        <v>4109.6133149999996</v>
      </c>
      <c r="AE36" s="195">
        <f t="shared" si="8"/>
        <v>4913.3755730000012</v>
      </c>
      <c r="AF36" s="195">
        <f t="shared" si="8"/>
        <v>5786.4965059999995</v>
      </c>
      <c r="AG36" s="195">
        <f>SUM(AG26:AG34)</f>
        <v>4429.8220710000005</v>
      </c>
      <c r="AH36" s="195">
        <f>SUM(AH26:AH34)</f>
        <v>4169.8432807000008</v>
      </c>
      <c r="AI36" s="523"/>
      <c r="AJ36" s="217"/>
    </row>
    <row r="37" spans="1:38" ht="16.5" thickTop="1" thickBot="1">
      <c r="A37" s="200" t="s">
        <v>600</v>
      </c>
      <c r="B37" s="201">
        <f>SUM(B35:B36)</f>
        <v>125.545063</v>
      </c>
      <c r="C37" s="201">
        <f t="shared" ref="C37:AH37" si="9">SUM(C35:C36)</f>
        <v>140.799475</v>
      </c>
      <c r="D37" s="201">
        <f t="shared" si="9"/>
        <v>165.31486899999999</v>
      </c>
      <c r="E37" s="201">
        <f t="shared" si="9"/>
        <v>156.516595</v>
      </c>
      <c r="F37" s="201">
        <f t="shared" si="9"/>
        <v>178.47263000000004</v>
      </c>
      <c r="G37" s="201">
        <f t="shared" si="9"/>
        <v>210.82389099999997</v>
      </c>
      <c r="H37" s="201">
        <f t="shared" si="9"/>
        <v>301.78305699999999</v>
      </c>
      <c r="I37" s="201">
        <f t="shared" si="9"/>
        <v>326.06664899999998</v>
      </c>
      <c r="J37" s="201">
        <f t="shared" si="9"/>
        <v>351.895983</v>
      </c>
      <c r="K37" s="201">
        <f t="shared" si="9"/>
        <v>373.79664499999996</v>
      </c>
      <c r="L37" s="201">
        <f t="shared" si="9"/>
        <v>362.35559599999999</v>
      </c>
      <c r="M37" s="201">
        <f t="shared" si="9"/>
        <v>465.43107500000002</v>
      </c>
      <c r="N37" s="201">
        <f t="shared" si="9"/>
        <v>485.21729099999999</v>
      </c>
      <c r="O37" s="201">
        <f t="shared" si="9"/>
        <v>584.94969500000002</v>
      </c>
      <c r="P37" s="201">
        <f t="shared" si="9"/>
        <v>636.28463900000008</v>
      </c>
      <c r="Q37" s="201">
        <f t="shared" si="9"/>
        <v>599.76767499999994</v>
      </c>
      <c r="R37" s="201">
        <f t="shared" si="9"/>
        <v>1019.0897639999999</v>
      </c>
      <c r="S37" s="201">
        <f t="shared" si="9"/>
        <v>1135.710513</v>
      </c>
      <c r="T37" s="201">
        <f t="shared" si="9"/>
        <v>1049.494342</v>
      </c>
      <c r="U37" s="201">
        <f t="shared" si="9"/>
        <v>1080.4620359999999</v>
      </c>
      <c r="V37" s="201">
        <f t="shared" si="9"/>
        <v>1141.2362639999999</v>
      </c>
      <c r="W37" s="201">
        <f t="shared" si="9"/>
        <v>1513.242029</v>
      </c>
      <c r="X37" s="201">
        <f t="shared" si="9"/>
        <v>1914.6006580000001</v>
      </c>
      <c r="Y37" s="201">
        <f t="shared" si="9"/>
        <v>2167.9782580000001</v>
      </c>
      <c r="Z37" s="201">
        <f t="shared" si="9"/>
        <v>2921.5065809999996</v>
      </c>
      <c r="AA37" s="201">
        <f t="shared" si="9"/>
        <v>2792.7862100000002</v>
      </c>
      <c r="AB37" s="201">
        <f t="shared" si="9"/>
        <v>3866.978024</v>
      </c>
      <c r="AC37" s="201">
        <f t="shared" si="9"/>
        <v>5288.7573659999998</v>
      </c>
      <c r="AD37" s="201">
        <f t="shared" si="9"/>
        <v>5095.445592</v>
      </c>
      <c r="AE37" s="201">
        <f t="shared" si="9"/>
        <v>5952.565880000001</v>
      </c>
      <c r="AF37" s="201">
        <f t="shared" si="9"/>
        <v>6865.9578799999999</v>
      </c>
      <c r="AG37" s="201">
        <f t="shared" si="9"/>
        <v>5172.627899000001</v>
      </c>
      <c r="AH37" s="201">
        <f t="shared" si="9"/>
        <v>4736.8880367000011</v>
      </c>
      <c r="AI37" s="210">
        <f>SUM(B37:AH37)</f>
        <v>59180.348160699999</v>
      </c>
      <c r="AJ37" s="202">
        <f>AI37/AI$37</f>
        <v>1</v>
      </c>
    </row>
    <row r="38" spans="1:38">
      <c r="R38" s="194"/>
      <c r="S38" s="194"/>
      <c r="T38" s="194"/>
      <c r="U38" s="194"/>
      <c r="V38" s="194"/>
      <c r="W38" s="194"/>
      <c r="X38" s="194"/>
      <c r="Y38" s="194"/>
      <c r="Z38" s="194"/>
      <c r="AA38" s="194"/>
      <c r="AB38" s="194"/>
      <c r="AC38" s="194"/>
      <c r="AD38" s="194"/>
      <c r="AE38" s="194"/>
      <c r="AF38" s="194"/>
      <c r="AG38" s="194"/>
      <c r="AH38" s="194"/>
    </row>
    <row r="39" spans="1:38">
      <c r="A39" s="237"/>
      <c r="B39" s="85"/>
      <c r="C39" s="85"/>
      <c r="D39" s="85"/>
      <c r="E39" s="85"/>
      <c r="F39" s="85"/>
      <c r="G39" s="85"/>
      <c r="H39" s="85"/>
      <c r="I39" s="85"/>
      <c r="J39" s="85"/>
      <c r="K39" s="85"/>
      <c r="L39" s="85"/>
      <c r="M39" s="85"/>
      <c r="N39" s="85"/>
      <c r="O39" s="85"/>
      <c r="P39" s="85"/>
      <c r="Q39" s="85"/>
      <c r="R39" s="85"/>
      <c r="S39" s="85"/>
      <c r="T39" s="85"/>
      <c r="U39" s="85"/>
      <c r="V39" s="85"/>
      <c r="W39" s="85"/>
      <c r="X39" s="85"/>
      <c r="Y39" s="85"/>
      <c r="Z39" s="248"/>
      <c r="AA39" s="248"/>
      <c r="AB39" s="248"/>
      <c r="AC39" s="248"/>
      <c r="AD39" s="248"/>
      <c r="AE39" s="248"/>
      <c r="AF39" s="248"/>
      <c r="AG39" s="248"/>
      <c r="AH39" s="248"/>
      <c r="AI39" s="225"/>
      <c r="AJ39" s="85"/>
      <c r="AK39" s="85"/>
      <c r="AL39" s="85"/>
    </row>
    <row r="40" spans="1:38">
      <c r="A40" s="237"/>
      <c r="B40" s="85"/>
      <c r="C40" s="85"/>
      <c r="D40" s="85"/>
      <c r="E40" s="85"/>
      <c r="F40" s="85"/>
      <c r="G40" s="85"/>
      <c r="H40" s="85"/>
      <c r="I40" s="85"/>
      <c r="J40" s="85"/>
      <c r="K40" s="85"/>
      <c r="L40" s="85"/>
      <c r="M40" s="85"/>
      <c r="N40" s="85"/>
      <c r="O40" s="85"/>
      <c r="P40" s="85"/>
      <c r="Q40" s="85"/>
      <c r="R40" s="85"/>
      <c r="S40" s="85"/>
      <c r="T40" s="85"/>
      <c r="U40" s="85"/>
      <c r="V40" s="85"/>
      <c r="W40" s="85"/>
      <c r="X40" s="85"/>
      <c r="Y40" s="85"/>
      <c r="Z40" s="248"/>
      <c r="AA40" s="248"/>
      <c r="AB40" s="249"/>
      <c r="AC40" s="249"/>
      <c r="AD40" s="249"/>
      <c r="AE40" s="249"/>
      <c r="AF40" s="249"/>
      <c r="AG40" s="249"/>
      <c r="AH40" s="249"/>
      <c r="AI40" s="225"/>
      <c r="AJ40" s="85"/>
      <c r="AK40" s="85"/>
      <c r="AL40" s="85"/>
    </row>
    <row r="41" spans="1:38">
      <c r="A41" s="227"/>
      <c r="B41" s="85"/>
      <c r="C41" s="85"/>
      <c r="D41" s="85"/>
      <c r="E41" s="85"/>
      <c r="F41" s="85"/>
      <c r="G41" s="85"/>
      <c r="H41" s="85"/>
      <c r="I41" s="85"/>
      <c r="J41" s="85"/>
      <c r="K41" s="85"/>
      <c r="L41" s="85"/>
      <c r="M41" s="85"/>
      <c r="N41" s="85"/>
      <c r="O41" s="85"/>
      <c r="P41" s="85"/>
      <c r="Q41" s="85"/>
      <c r="R41" s="85"/>
      <c r="S41" s="85"/>
      <c r="T41" s="85"/>
      <c r="U41" s="85"/>
      <c r="V41" s="85"/>
      <c r="W41" s="85"/>
      <c r="X41" s="85"/>
      <c r="Y41" s="85"/>
      <c r="Z41" s="248"/>
      <c r="AA41" s="248"/>
      <c r="AB41" s="248"/>
      <c r="AC41" s="248"/>
      <c r="AD41" s="248"/>
      <c r="AE41" s="248"/>
      <c r="AF41" s="248"/>
      <c r="AG41" s="248"/>
      <c r="AH41" s="248"/>
      <c r="AI41" s="225"/>
      <c r="AJ41" s="85"/>
      <c r="AK41" s="85"/>
      <c r="AL41" s="85"/>
    </row>
    <row r="42" spans="1:38">
      <c r="A42" s="237"/>
      <c r="B42" s="85"/>
      <c r="C42" s="85"/>
      <c r="D42" s="85"/>
      <c r="E42" s="85"/>
      <c r="F42" s="85"/>
      <c r="G42" s="85"/>
      <c r="H42" s="85"/>
      <c r="I42" s="85"/>
      <c r="J42" s="85"/>
      <c r="K42" s="85"/>
      <c r="L42" s="85"/>
      <c r="M42" s="85"/>
      <c r="N42" s="85"/>
      <c r="O42" s="85"/>
      <c r="P42" s="85"/>
      <c r="Q42" s="85"/>
      <c r="R42" s="85"/>
      <c r="S42" s="85"/>
      <c r="T42" s="85"/>
      <c r="U42" s="85"/>
      <c r="V42" s="85"/>
      <c r="W42" s="85"/>
      <c r="X42" s="85"/>
      <c r="Y42" s="85"/>
      <c r="Z42" s="248"/>
      <c r="AA42" s="248"/>
      <c r="AB42" s="248"/>
      <c r="AC42" s="248"/>
      <c r="AD42" s="248"/>
      <c r="AE42" s="248"/>
      <c r="AF42" s="248"/>
      <c r="AG42" s="248"/>
      <c r="AH42" s="248"/>
      <c r="AI42" s="225"/>
      <c r="AJ42" s="85"/>
      <c r="AK42" s="85"/>
      <c r="AL42" s="85"/>
    </row>
    <row r="43" spans="1:38">
      <c r="A43" s="237"/>
      <c r="B43" s="85"/>
      <c r="C43" s="85"/>
      <c r="D43" s="85"/>
      <c r="E43" s="85"/>
      <c r="F43" s="85"/>
      <c r="G43" s="85"/>
      <c r="H43" s="85"/>
      <c r="I43" s="85"/>
      <c r="J43" s="85"/>
      <c r="K43" s="85"/>
      <c r="L43" s="85"/>
      <c r="M43" s="85"/>
      <c r="N43" s="85"/>
      <c r="O43" s="85"/>
      <c r="P43" s="85"/>
      <c r="Q43" s="85"/>
      <c r="R43" s="85"/>
      <c r="S43" s="85"/>
      <c r="T43" s="85"/>
      <c r="U43" s="85"/>
      <c r="V43" s="85"/>
      <c r="W43" s="85"/>
      <c r="X43" s="85"/>
      <c r="Y43" s="85"/>
      <c r="Z43" s="248"/>
      <c r="AA43" s="248"/>
      <c r="AB43" s="248"/>
      <c r="AC43" s="248"/>
      <c r="AD43" s="248"/>
      <c r="AE43" s="248"/>
      <c r="AF43" s="248"/>
      <c r="AG43" s="248"/>
      <c r="AH43" s="248"/>
      <c r="AI43" s="225"/>
      <c r="AJ43" s="85"/>
      <c r="AK43" s="85"/>
      <c r="AL43" s="85"/>
    </row>
    <row r="44" spans="1:38">
      <c r="A44" s="237"/>
      <c r="B44" s="85"/>
      <c r="C44" s="85"/>
      <c r="D44" s="85"/>
      <c r="E44" s="85"/>
      <c r="F44" s="85"/>
      <c r="G44" s="85"/>
      <c r="H44" s="85"/>
      <c r="I44" s="85"/>
      <c r="J44" s="85"/>
      <c r="K44" s="85"/>
      <c r="L44" s="85"/>
      <c r="M44" s="85"/>
      <c r="N44" s="85"/>
      <c r="O44" s="85"/>
      <c r="P44" s="85"/>
      <c r="Q44" s="85"/>
      <c r="R44" s="85"/>
      <c r="S44" s="85"/>
      <c r="T44" s="85"/>
      <c r="U44" s="85"/>
      <c r="V44" s="85"/>
      <c r="W44" s="85"/>
      <c r="X44" s="85"/>
      <c r="Y44" s="85"/>
      <c r="Z44" s="248"/>
      <c r="AA44" s="248"/>
      <c r="AB44" s="248"/>
      <c r="AC44" s="248"/>
      <c r="AD44" s="248"/>
      <c r="AE44" s="248"/>
      <c r="AF44" s="248"/>
      <c r="AG44" s="248"/>
      <c r="AH44" s="248"/>
      <c r="AI44" s="225"/>
      <c r="AJ44" s="85"/>
      <c r="AK44" s="85"/>
      <c r="AL44" s="85"/>
    </row>
    <row r="45" spans="1:38">
      <c r="A45" s="237"/>
      <c r="B45" s="85"/>
      <c r="C45" s="85"/>
      <c r="D45" s="85"/>
      <c r="E45" s="85"/>
      <c r="F45" s="85"/>
      <c r="G45" s="85"/>
      <c r="H45" s="85"/>
      <c r="I45" s="85"/>
      <c r="J45" s="85"/>
      <c r="K45" s="85"/>
      <c r="L45" s="85"/>
      <c r="M45" s="85"/>
      <c r="N45" s="85"/>
      <c r="O45" s="85"/>
      <c r="P45" s="85"/>
      <c r="Q45" s="85"/>
      <c r="R45" s="85"/>
      <c r="S45" s="85"/>
      <c r="T45" s="85"/>
      <c r="U45" s="85"/>
      <c r="V45" s="85"/>
      <c r="W45" s="85"/>
      <c r="X45" s="85"/>
      <c r="Y45" s="85"/>
      <c r="Z45" s="248"/>
      <c r="AA45" s="248"/>
      <c r="AB45" s="248"/>
      <c r="AC45" s="248"/>
      <c r="AD45" s="248"/>
      <c r="AE45" s="248"/>
      <c r="AF45" s="248"/>
      <c r="AG45" s="236"/>
      <c r="AH45" s="236"/>
      <c r="AI45" s="225"/>
      <c r="AJ45" s="85"/>
      <c r="AK45" s="85"/>
      <c r="AL45" s="85"/>
    </row>
    <row r="46" spans="1:38">
      <c r="A46" s="237"/>
      <c r="B46" s="85"/>
      <c r="C46" s="85"/>
      <c r="D46" s="85"/>
      <c r="E46" s="85"/>
      <c r="F46" s="85"/>
      <c r="G46" s="85"/>
      <c r="H46" s="85"/>
      <c r="I46" s="85"/>
      <c r="J46" s="85"/>
      <c r="K46" s="85"/>
      <c r="L46" s="85"/>
      <c r="M46" s="85"/>
      <c r="N46" s="85"/>
      <c r="O46" s="85"/>
      <c r="P46" s="85"/>
      <c r="Q46" s="85"/>
      <c r="R46" s="85"/>
      <c r="S46" s="85"/>
      <c r="T46" s="85"/>
      <c r="U46" s="85"/>
      <c r="V46" s="85"/>
      <c r="W46" s="85"/>
      <c r="X46" s="85"/>
      <c r="Y46" s="85"/>
      <c r="Z46" s="248"/>
      <c r="AA46" s="248"/>
      <c r="AB46" s="248"/>
      <c r="AC46" s="248"/>
      <c r="AD46" s="248"/>
      <c r="AE46" s="248"/>
      <c r="AF46" s="248"/>
      <c r="AG46" s="247"/>
      <c r="AH46" s="247"/>
      <c r="AI46" s="225"/>
      <c r="AJ46" s="85"/>
      <c r="AK46" s="85"/>
      <c r="AL46" s="85"/>
    </row>
    <row r="47" spans="1:38">
      <c r="A47" s="242"/>
      <c r="B47" s="85"/>
      <c r="C47" s="85"/>
      <c r="D47" s="85"/>
      <c r="E47" s="85"/>
      <c r="F47" s="85"/>
      <c r="G47" s="85"/>
      <c r="H47" s="85"/>
      <c r="I47" s="85"/>
      <c r="J47" s="85"/>
      <c r="K47" s="85"/>
      <c r="L47" s="85"/>
      <c r="M47" s="85"/>
      <c r="N47" s="85"/>
      <c r="O47" s="85"/>
      <c r="P47" s="85"/>
      <c r="Q47" s="85"/>
      <c r="R47" s="85"/>
      <c r="S47" s="85"/>
      <c r="T47" s="85"/>
      <c r="U47" s="85"/>
      <c r="V47" s="85"/>
      <c r="W47" s="85"/>
      <c r="X47" s="85"/>
      <c r="Y47" s="85"/>
      <c r="Z47" s="248"/>
      <c r="AA47" s="248"/>
      <c r="AB47" s="248"/>
      <c r="AC47" s="248"/>
      <c r="AD47" s="248"/>
      <c r="AE47" s="248"/>
      <c r="AF47" s="248"/>
      <c r="AG47" s="248"/>
      <c r="AH47" s="248"/>
      <c r="AI47" s="225"/>
      <c r="AJ47" s="85"/>
      <c r="AK47" s="85"/>
      <c r="AL47" s="85"/>
    </row>
    <row r="48" spans="1:38">
      <c r="A48" s="242"/>
      <c r="B48" s="85"/>
      <c r="C48" s="85"/>
      <c r="D48" s="85"/>
      <c r="E48" s="85"/>
      <c r="F48" s="85"/>
      <c r="G48" s="85"/>
      <c r="H48" s="85"/>
      <c r="I48" s="85"/>
      <c r="J48" s="85"/>
      <c r="K48" s="85"/>
      <c r="L48" s="85"/>
      <c r="M48" s="85"/>
      <c r="N48" s="85"/>
      <c r="O48" s="85"/>
      <c r="P48" s="85"/>
      <c r="Q48" s="85"/>
      <c r="R48" s="85"/>
      <c r="S48" s="85"/>
      <c r="T48" s="85"/>
      <c r="U48" s="85"/>
      <c r="V48" s="85"/>
      <c r="W48" s="85"/>
      <c r="X48" s="85"/>
      <c r="Y48" s="85"/>
      <c r="Z48" s="248"/>
      <c r="AA48" s="248"/>
      <c r="AB48" s="249"/>
      <c r="AC48" s="248"/>
      <c r="AD48" s="248"/>
      <c r="AE48" s="248"/>
      <c r="AF48" s="248"/>
      <c r="AG48" s="248"/>
      <c r="AH48" s="248"/>
      <c r="AI48" s="225"/>
      <c r="AJ48" s="85"/>
      <c r="AK48" s="85"/>
      <c r="AL48" s="85"/>
    </row>
    <row r="49" spans="1:38">
      <c r="A49" s="240"/>
      <c r="B49" s="85"/>
      <c r="C49" s="85"/>
      <c r="D49" s="85"/>
      <c r="E49" s="85"/>
      <c r="F49" s="85"/>
      <c r="G49" s="85"/>
      <c r="H49" s="85"/>
      <c r="I49" s="85"/>
      <c r="J49" s="85"/>
      <c r="K49" s="85"/>
      <c r="L49" s="85"/>
      <c r="M49" s="85"/>
      <c r="N49" s="85"/>
      <c r="O49" s="85"/>
      <c r="P49" s="85"/>
      <c r="Q49" s="85"/>
      <c r="R49" s="85"/>
      <c r="S49" s="85"/>
      <c r="T49" s="85"/>
      <c r="U49" s="85"/>
      <c r="V49" s="85"/>
      <c r="W49" s="85"/>
      <c r="X49" s="85"/>
      <c r="Y49" s="85"/>
      <c r="Z49" s="250"/>
      <c r="AA49" s="250"/>
      <c r="AB49" s="250"/>
      <c r="AC49" s="250"/>
      <c r="AD49" s="250"/>
      <c r="AE49" s="250"/>
      <c r="AF49" s="250"/>
      <c r="AG49" s="250"/>
      <c r="AH49" s="250"/>
      <c r="AI49" s="239"/>
      <c r="AJ49" s="85"/>
      <c r="AK49" s="85"/>
      <c r="AL49" s="85"/>
    </row>
    <row r="50" spans="1:38">
      <c r="A50" s="240"/>
      <c r="B50" s="85"/>
      <c r="C50" s="85"/>
      <c r="D50" s="85"/>
      <c r="E50" s="85"/>
      <c r="F50" s="85"/>
      <c r="G50" s="85"/>
      <c r="H50" s="85"/>
      <c r="I50" s="85"/>
      <c r="J50" s="85"/>
      <c r="K50" s="85"/>
      <c r="L50" s="85"/>
      <c r="M50" s="85"/>
      <c r="N50" s="85"/>
      <c r="O50" s="85"/>
      <c r="P50" s="85"/>
      <c r="Q50" s="85"/>
      <c r="R50" s="85"/>
      <c r="S50" s="85"/>
      <c r="T50" s="85"/>
      <c r="U50" s="85"/>
      <c r="V50" s="85"/>
      <c r="W50" s="85"/>
      <c r="X50" s="85"/>
      <c r="Y50" s="85"/>
      <c r="Z50" s="250"/>
      <c r="AA50" s="250"/>
      <c r="AB50" s="250"/>
      <c r="AC50" s="250"/>
      <c r="AD50" s="250"/>
      <c r="AE50" s="250"/>
      <c r="AF50" s="250"/>
      <c r="AG50" s="250"/>
      <c r="AH50" s="250"/>
      <c r="AI50" s="239"/>
      <c r="AJ50" s="85"/>
      <c r="AK50" s="85"/>
      <c r="AL50" s="85"/>
    </row>
    <row r="51" spans="1:38">
      <c r="A51" s="244"/>
      <c r="B51" s="85"/>
      <c r="C51" s="85"/>
      <c r="D51" s="85"/>
      <c r="E51" s="85"/>
      <c r="F51" s="85"/>
      <c r="G51" s="85"/>
      <c r="H51" s="85"/>
      <c r="I51" s="85"/>
      <c r="J51" s="85"/>
      <c r="K51" s="85"/>
      <c r="L51" s="85"/>
      <c r="M51" s="85"/>
      <c r="N51" s="85"/>
      <c r="O51" s="85"/>
      <c r="P51" s="85"/>
      <c r="Q51" s="85"/>
      <c r="R51" s="85"/>
      <c r="S51" s="85"/>
      <c r="T51" s="85"/>
      <c r="U51" s="85"/>
      <c r="V51" s="85"/>
      <c r="W51" s="85"/>
      <c r="X51" s="85"/>
      <c r="Y51" s="85"/>
      <c r="Z51" s="244"/>
      <c r="AA51" s="244"/>
      <c r="AB51" s="244"/>
      <c r="AC51" s="244"/>
      <c r="AD51" s="244"/>
      <c r="AE51" s="244"/>
      <c r="AF51" s="244"/>
      <c r="AG51" s="244"/>
      <c r="AH51" s="244"/>
      <c r="AI51" s="225"/>
      <c r="AJ51" s="85"/>
      <c r="AK51" s="85"/>
      <c r="AL51" s="85"/>
    </row>
    <row r="52" spans="1:38">
      <c r="A52" s="244"/>
      <c r="B52" s="85"/>
      <c r="C52" s="85"/>
      <c r="D52" s="85"/>
      <c r="E52" s="85"/>
      <c r="F52" s="85"/>
      <c r="G52" s="85"/>
      <c r="H52" s="85"/>
      <c r="I52" s="85"/>
      <c r="J52" s="85"/>
      <c r="K52" s="85"/>
      <c r="L52" s="85"/>
      <c r="M52" s="85"/>
      <c r="N52" s="85"/>
      <c r="O52" s="85"/>
      <c r="P52" s="85"/>
      <c r="Q52" s="85"/>
      <c r="R52" s="85"/>
      <c r="S52" s="85"/>
      <c r="T52" s="85"/>
      <c r="U52" s="85"/>
      <c r="V52" s="85"/>
      <c r="W52" s="85"/>
      <c r="X52" s="85"/>
      <c r="Y52" s="85"/>
      <c r="Z52" s="239"/>
      <c r="AA52" s="239"/>
      <c r="AB52" s="239"/>
      <c r="AC52" s="239"/>
      <c r="AD52" s="239"/>
      <c r="AE52" s="239"/>
      <c r="AF52" s="239"/>
      <c r="AG52" s="239"/>
      <c r="AH52" s="239"/>
      <c r="AI52" s="226"/>
      <c r="AJ52" s="85"/>
      <c r="AK52" s="85"/>
      <c r="AL52" s="85"/>
    </row>
    <row r="53" spans="1:38">
      <c r="A53" s="244"/>
      <c r="B53" s="85"/>
      <c r="C53" s="85"/>
      <c r="D53" s="85"/>
      <c r="E53" s="85"/>
      <c r="F53" s="85"/>
      <c r="G53" s="85"/>
      <c r="H53" s="85"/>
      <c r="I53" s="85"/>
      <c r="J53" s="85"/>
      <c r="K53" s="85"/>
      <c r="L53" s="85"/>
      <c r="M53" s="85"/>
      <c r="N53" s="85"/>
      <c r="O53" s="85"/>
      <c r="P53" s="85"/>
      <c r="Q53" s="85"/>
      <c r="R53" s="85"/>
      <c r="S53" s="85"/>
      <c r="T53" s="85"/>
      <c r="U53" s="85"/>
      <c r="V53" s="85"/>
      <c r="W53" s="85"/>
      <c r="X53" s="85"/>
      <c r="Y53" s="85"/>
      <c r="Z53" s="239"/>
      <c r="AA53" s="239"/>
      <c r="AB53" s="239"/>
      <c r="AC53" s="239"/>
      <c r="AD53" s="239"/>
      <c r="AE53" s="239"/>
      <c r="AF53" s="239"/>
      <c r="AG53" s="239"/>
      <c r="AH53" s="239"/>
      <c r="AI53" s="226"/>
      <c r="AJ53" s="85"/>
      <c r="AK53" s="85"/>
      <c r="AL53" s="85"/>
    </row>
    <row r="54" spans="1:38">
      <c r="A54" s="244"/>
      <c r="B54" s="85"/>
      <c r="C54" s="85"/>
      <c r="D54" s="85"/>
      <c r="E54" s="85"/>
      <c r="F54" s="85"/>
      <c r="G54" s="85"/>
      <c r="H54" s="85"/>
      <c r="I54" s="85"/>
      <c r="J54" s="85"/>
      <c r="K54" s="85"/>
      <c r="L54" s="85"/>
      <c r="M54" s="85"/>
      <c r="N54" s="85"/>
      <c r="O54" s="85"/>
      <c r="P54" s="85"/>
      <c r="Q54" s="85"/>
      <c r="R54" s="85"/>
      <c r="S54" s="85"/>
      <c r="T54" s="85"/>
      <c r="U54" s="85"/>
      <c r="V54" s="85"/>
      <c r="W54" s="85"/>
      <c r="X54" s="85"/>
      <c r="Y54" s="85"/>
      <c r="Z54" s="244"/>
      <c r="AA54" s="247"/>
      <c r="AB54" s="247"/>
      <c r="AC54" s="247"/>
      <c r="AD54" s="247"/>
      <c r="AE54" s="247"/>
      <c r="AF54" s="247"/>
      <c r="AG54" s="247"/>
      <c r="AH54" s="247"/>
      <c r="AI54" s="225"/>
      <c r="AJ54" s="85"/>
      <c r="AK54" s="85"/>
      <c r="AL54" s="85"/>
    </row>
    <row r="55" spans="1:38">
      <c r="A55" s="244"/>
      <c r="B55" s="85"/>
      <c r="C55" s="85"/>
      <c r="D55" s="85"/>
      <c r="E55" s="85"/>
      <c r="F55" s="85"/>
      <c r="G55" s="85"/>
      <c r="H55" s="85"/>
      <c r="I55" s="85"/>
      <c r="J55" s="85"/>
      <c r="K55" s="85"/>
      <c r="L55" s="85"/>
      <c r="M55" s="85"/>
      <c r="N55" s="85"/>
      <c r="O55" s="85"/>
      <c r="P55" s="85"/>
      <c r="Q55" s="85"/>
      <c r="R55" s="85"/>
      <c r="S55" s="85"/>
      <c r="T55" s="85"/>
      <c r="U55" s="85"/>
      <c r="V55" s="85"/>
      <c r="W55" s="85"/>
      <c r="X55" s="85"/>
      <c r="Y55" s="85"/>
      <c r="Z55" s="244"/>
      <c r="AA55" s="247"/>
      <c r="AB55" s="247"/>
      <c r="AC55" s="247"/>
      <c r="AD55" s="247"/>
      <c r="AE55" s="247"/>
      <c r="AF55" s="247"/>
      <c r="AG55" s="247"/>
      <c r="AH55" s="247"/>
      <c r="AI55" s="225"/>
      <c r="AJ55" s="85"/>
      <c r="AK55" s="85"/>
      <c r="AL55" s="85"/>
    </row>
    <row r="56" spans="1:38">
      <c r="A56" s="244"/>
      <c r="B56" s="85"/>
      <c r="C56" s="85"/>
      <c r="D56" s="85"/>
      <c r="E56" s="85"/>
      <c r="F56" s="85"/>
      <c r="G56" s="85"/>
      <c r="H56" s="85"/>
      <c r="I56" s="85"/>
      <c r="J56" s="85"/>
      <c r="K56" s="85"/>
      <c r="L56" s="85"/>
      <c r="M56" s="85"/>
      <c r="N56" s="85"/>
      <c r="O56" s="85"/>
      <c r="P56" s="85"/>
      <c r="Q56" s="85"/>
      <c r="R56" s="85"/>
      <c r="S56" s="85"/>
      <c r="T56" s="85"/>
      <c r="U56" s="85"/>
      <c r="V56" s="85"/>
      <c r="W56" s="85"/>
      <c r="X56" s="85"/>
      <c r="Y56" s="85"/>
      <c r="Z56" s="244"/>
      <c r="AA56" s="247"/>
      <c r="AB56" s="247"/>
      <c r="AC56" s="247"/>
      <c r="AD56" s="247"/>
      <c r="AE56" s="247"/>
      <c r="AF56" s="247"/>
      <c r="AG56" s="247"/>
      <c r="AH56" s="247"/>
      <c r="AI56" s="225"/>
      <c r="AJ56" s="85"/>
      <c r="AK56" s="85"/>
      <c r="AL56" s="85"/>
    </row>
    <row r="57" spans="1:38">
      <c r="A57" s="244"/>
      <c r="B57" s="85"/>
      <c r="C57" s="85"/>
      <c r="D57" s="85"/>
      <c r="E57" s="85"/>
      <c r="F57" s="85"/>
      <c r="G57" s="85"/>
      <c r="H57" s="85"/>
      <c r="I57" s="85"/>
      <c r="J57" s="85"/>
      <c r="K57" s="85"/>
      <c r="L57" s="85"/>
      <c r="M57" s="85"/>
      <c r="N57" s="85"/>
      <c r="O57" s="85"/>
      <c r="P57" s="85"/>
      <c r="Q57" s="85"/>
      <c r="R57" s="85"/>
      <c r="S57" s="85"/>
      <c r="T57" s="85"/>
      <c r="U57" s="85"/>
      <c r="V57" s="85"/>
      <c r="W57" s="85"/>
      <c r="X57" s="85"/>
      <c r="Y57" s="85"/>
      <c r="Z57" s="244"/>
      <c r="AA57" s="247"/>
      <c r="AB57" s="247"/>
      <c r="AC57" s="247"/>
      <c r="AD57" s="247"/>
      <c r="AE57" s="247"/>
      <c r="AF57" s="247"/>
      <c r="AG57" s="247"/>
      <c r="AH57" s="247"/>
      <c r="AI57" s="225"/>
      <c r="AJ57" s="85"/>
      <c r="AK57" s="85"/>
      <c r="AL57" s="85"/>
    </row>
    <row r="58" spans="1:38">
      <c r="A58" s="244"/>
      <c r="B58" s="85"/>
      <c r="C58" s="85"/>
      <c r="D58" s="85"/>
      <c r="E58" s="85"/>
      <c r="F58" s="85"/>
      <c r="G58" s="85"/>
      <c r="H58" s="85"/>
      <c r="I58" s="85"/>
      <c r="J58" s="85"/>
      <c r="K58" s="85"/>
      <c r="L58" s="85"/>
      <c r="M58" s="85"/>
      <c r="N58" s="85"/>
      <c r="O58" s="85"/>
      <c r="P58" s="85"/>
      <c r="Q58" s="85"/>
      <c r="R58" s="85"/>
      <c r="S58" s="85"/>
      <c r="T58" s="85"/>
      <c r="U58" s="85"/>
      <c r="V58" s="85"/>
      <c r="W58" s="85"/>
      <c r="X58" s="85"/>
      <c r="Y58" s="85"/>
      <c r="Z58" s="244"/>
      <c r="AA58" s="247"/>
      <c r="AB58" s="247"/>
      <c r="AC58" s="247"/>
      <c r="AD58" s="247"/>
      <c r="AE58" s="247"/>
      <c r="AF58" s="247"/>
      <c r="AG58" s="247"/>
      <c r="AH58" s="247"/>
      <c r="AI58" s="225"/>
      <c r="AJ58" s="85"/>
      <c r="AK58" s="85"/>
      <c r="AL58" s="85"/>
    </row>
    <row r="59" spans="1:38">
      <c r="A59" s="244"/>
      <c r="B59" s="85"/>
      <c r="C59" s="85"/>
      <c r="D59" s="85"/>
      <c r="E59" s="85"/>
      <c r="F59" s="85"/>
      <c r="G59" s="85"/>
      <c r="H59" s="85"/>
      <c r="I59" s="85"/>
      <c r="J59" s="85"/>
      <c r="K59" s="85"/>
      <c r="L59" s="85"/>
      <c r="M59" s="85"/>
      <c r="N59" s="85"/>
      <c r="O59" s="85"/>
      <c r="P59" s="85"/>
      <c r="Q59" s="85"/>
      <c r="R59" s="85"/>
      <c r="S59" s="85"/>
      <c r="T59" s="85"/>
      <c r="U59" s="85"/>
      <c r="V59" s="85"/>
      <c r="W59" s="85"/>
      <c r="X59" s="85"/>
      <c r="Y59" s="85"/>
      <c r="Z59" s="244"/>
      <c r="AA59" s="247"/>
      <c r="AB59" s="247"/>
      <c r="AC59" s="247"/>
      <c r="AD59" s="247"/>
      <c r="AE59" s="247"/>
      <c r="AF59" s="247"/>
      <c r="AG59" s="247"/>
      <c r="AH59" s="247"/>
      <c r="AI59" s="225"/>
      <c r="AJ59" s="85"/>
      <c r="AK59" s="85"/>
      <c r="AL59" s="85"/>
    </row>
    <row r="60" spans="1:38">
      <c r="A60" s="244"/>
      <c r="B60" s="85"/>
      <c r="C60" s="85"/>
      <c r="D60" s="85"/>
      <c r="E60" s="85"/>
      <c r="F60" s="85"/>
      <c r="G60" s="85"/>
      <c r="H60" s="85"/>
      <c r="I60" s="85"/>
      <c r="J60" s="85"/>
      <c r="K60" s="85"/>
      <c r="L60" s="85"/>
      <c r="M60" s="85"/>
      <c r="N60" s="85"/>
      <c r="O60" s="85"/>
      <c r="P60" s="85"/>
      <c r="Q60" s="85"/>
      <c r="R60" s="85"/>
      <c r="S60" s="85"/>
      <c r="T60" s="85"/>
      <c r="U60" s="85"/>
      <c r="V60" s="85"/>
      <c r="W60" s="85"/>
      <c r="X60" s="85"/>
      <c r="Y60" s="85"/>
      <c r="Z60" s="244"/>
      <c r="AA60" s="247"/>
      <c r="AB60" s="247"/>
      <c r="AC60" s="247"/>
      <c r="AD60" s="247"/>
      <c r="AE60" s="247"/>
      <c r="AF60" s="247"/>
      <c r="AG60" s="247"/>
      <c r="AH60" s="247"/>
      <c r="AI60" s="225"/>
      <c r="AJ60" s="85"/>
      <c r="AK60" s="85"/>
      <c r="AL60" s="85"/>
    </row>
    <row r="61" spans="1:38">
      <c r="A61" s="242"/>
      <c r="B61" s="85"/>
      <c r="C61" s="85"/>
      <c r="D61" s="85"/>
      <c r="E61" s="85"/>
      <c r="F61" s="85"/>
      <c r="G61" s="85"/>
      <c r="H61" s="85"/>
      <c r="I61" s="85"/>
      <c r="J61" s="85"/>
      <c r="K61" s="85"/>
      <c r="L61" s="85"/>
      <c r="M61" s="85"/>
      <c r="N61" s="85"/>
      <c r="O61" s="85"/>
      <c r="P61" s="85"/>
      <c r="Q61" s="85"/>
      <c r="R61" s="85"/>
      <c r="S61" s="85"/>
      <c r="T61" s="85"/>
      <c r="U61" s="85"/>
      <c r="V61" s="85"/>
      <c r="W61" s="85"/>
      <c r="X61" s="85"/>
      <c r="Y61" s="85"/>
      <c r="Z61" s="244"/>
      <c r="AA61" s="247"/>
      <c r="AB61" s="247"/>
      <c r="AC61" s="247"/>
      <c r="AD61" s="247"/>
      <c r="AE61" s="247"/>
      <c r="AF61" s="247"/>
      <c r="AG61" s="247"/>
      <c r="AH61" s="247"/>
      <c r="AI61" s="225"/>
      <c r="AJ61" s="85"/>
      <c r="AK61" s="85"/>
      <c r="AL61" s="85"/>
    </row>
    <row r="62" spans="1:38">
      <c r="A62" s="242"/>
      <c r="B62" s="85"/>
      <c r="C62" s="85"/>
      <c r="D62" s="85"/>
      <c r="E62" s="85"/>
      <c r="F62" s="85"/>
      <c r="G62" s="85"/>
      <c r="H62" s="85"/>
      <c r="I62" s="85"/>
      <c r="J62" s="85"/>
      <c r="K62" s="85"/>
      <c r="L62" s="85"/>
      <c r="M62" s="85"/>
      <c r="N62" s="85"/>
      <c r="O62" s="85"/>
      <c r="P62" s="85"/>
      <c r="Q62" s="85"/>
      <c r="R62" s="85"/>
      <c r="S62" s="85"/>
      <c r="T62" s="85"/>
      <c r="U62" s="85"/>
      <c r="V62" s="85"/>
      <c r="W62" s="85"/>
      <c r="X62" s="85"/>
      <c r="Y62" s="85"/>
      <c r="Z62" s="244"/>
      <c r="AA62" s="247"/>
      <c r="AB62" s="247"/>
      <c r="AC62" s="247"/>
      <c r="AD62" s="247"/>
      <c r="AE62" s="247"/>
      <c r="AF62" s="247"/>
      <c r="AG62" s="247"/>
      <c r="AH62" s="247"/>
      <c r="AI62" s="225"/>
      <c r="AJ62" s="85"/>
      <c r="AK62" s="85"/>
      <c r="AL62" s="85"/>
    </row>
    <row r="63" spans="1:38">
      <c r="A63" s="240"/>
      <c r="B63" s="85"/>
      <c r="C63" s="85"/>
      <c r="D63" s="85"/>
      <c r="E63" s="85"/>
      <c r="F63" s="85"/>
      <c r="G63" s="85"/>
      <c r="H63" s="85"/>
      <c r="I63" s="85"/>
      <c r="J63" s="85"/>
      <c r="K63" s="85"/>
      <c r="L63" s="85"/>
      <c r="M63" s="85"/>
      <c r="N63" s="85"/>
      <c r="O63" s="85"/>
      <c r="P63" s="85"/>
      <c r="Q63" s="85"/>
      <c r="R63" s="85"/>
      <c r="S63" s="85"/>
      <c r="T63" s="85"/>
      <c r="U63" s="85"/>
      <c r="V63" s="85"/>
      <c r="W63" s="85"/>
      <c r="X63" s="85"/>
      <c r="Y63" s="85"/>
      <c r="Z63" s="239"/>
      <c r="AA63" s="243"/>
      <c r="AB63" s="243"/>
      <c r="AC63" s="243"/>
      <c r="AD63" s="243"/>
      <c r="AE63" s="243"/>
      <c r="AF63" s="243"/>
      <c r="AG63" s="243"/>
      <c r="AH63" s="243"/>
      <c r="AI63" s="239"/>
      <c r="AJ63" s="85"/>
      <c r="AK63" s="85"/>
      <c r="AL63" s="85"/>
    </row>
    <row r="64" spans="1:38">
      <c r="A64" s="240"/>
      <c r="B64" s="85"/>
      <c r="C64" s="85"/>
      <c r="D64" s="85"/>
      <c r="E64" s="85"/>
      <c r="F64" s="85"/>
      <c r="G64" s="85"/>
      <c r="H64" s="85"/>
      <c r="I64" s="85"/>
      <c r="J64" s="85"/>
      <c r="K64" s="85"/>
      <c r="L64" s="85"/>
      <c r="M64" s="85"/>
      <c r="N64" s="85"/>
      <c r="O64" s="85"/>
      <c r="P64" s="85"/>
      <c r="Q64" s="85"/>
      <c r="R64" s="85"/>
      <c r="S64" s="85"/>
      <c r="T64" s="85"/>
      <c r="U64" s="85"/>
      <c r="V64" s="85"/>
      <c r="W64" s="85"/>
      <c r="X64" s="85"/>
      <c r="Y64" s="85"/>
      <c r="Z64" s="239"/>
      <c r="AA64" s="243"/>
      <c r="AB64" s="243"/>
      <c r="AC64" s="243"/>
      <c r="AD64" s="243"/>
      <c r="AE64" s="243"/>
      <c r="AF64" s="243"/>
      <c r="AG64" s="243"/>
      <c r="AH64" s="243"/>
      <c r="AI64" s="239"/>
      <c r="AJ64" s="85"/>
      <c r="AK64" s="85"/>
      <c r="AL64" s="85"/>
    </row>
    <row r="65" spans="1:38">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row>
    <row r="66" spans="1:38">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245"/>
      <c r="AA66" s="245"/>
      <c r="AB66" s="245"/>
      <c r="AC66" s="245"/>
      <c r="AD66" s="245"/>
      <c r="AE66" s="245"/>
      <c r="AF66" s="245"/>
      <c r="AG66" s="245"/>
      <c r="AH66" s="245"/>
      <c r="AI66" s="245"/>
      <c r="AJ66" s="85"/>
      <c r="AK66" s="85"/>
      <c r="AL66" s="85"/>
    </row>
    <row r="67" spans="1:38">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245"/>
      <c r="AA67" s="245"/>
      <c r="AB67" s="245"/>
      <c r="AC67" s="245"/>
      <c r="AD67" s="245"/>
      <c r="AE67" s="245"/>
      <c r="AF67" s="245"/>
      <c r="AG67" s="245"/>
      <c r="AH67" s="245"/>
      <c r="AI67" s="245"/>
      <c r="AJ67" s="85"/>
      <c r="AK67" s="85"/>
      <c r="AL67" s="85"/>
    </row>
    <row r="68" spans="1:38">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245"/>
      <c r="AA68" s="245"/>
      <c r="AB68" s="245"/>
      <c r="AC68" s="245"/>
      <c r="AD68" s="245"/>
      <c r="AE68" s="245"/>
      <c r="AF68" s="245"/>
      <c r="AG68" s="245"/>
      <c r="AH68" s="245"/>
      <c r="AI68" s="245"/>
      <c r="AJ68" s="85"/>
      <c r="AK68" s="85"/>
      <c r="AL68" s="85"/>
    </row>
    <row r="69" spans="1:38">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245"/>
      <c r="AA69" s="245"/>
      <c r="AB69" s="245"/>
      <c r="AC69" s="245"/>
      <c r="AD69" s="245"/>
      <c r="AE69" s="245"/>
      <c r="AF69" s="245"/>
      <c r="AG69" s="245"/>
      <c r="AH69" s="245"/>
      <c r="AI69" s="245"/>
      <c r="AJ69" s="85"/>
      <c r="AK69" s="85"/>
      <c r="AL69" s="85"/>
    </row>
    <row r="70" spans="1:38">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245"/>
      <c r="AA70" s="245"/>
      <c r="AB70" s="245"/>
      <c r="AC70" s="245"/>
      <c r="AD70" s="245"/>
      <c r="AE70" s="245"/>
      <c r="AF70" s="245"/>
      <c r="AG70" s="245"/>
      <c r="AH70" s="245"/>
      <c r="AI70" s="245"/>
      <c r="AJ70" s="85"/>
      <c r="AK70" s="85"/>
      <c r="AL70" s="85"/>
    </row>
    <row r="71" spans="1:38">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245"/>
      <c r="AA71" s="245"/>
      <c r="AB71" s="245"/>
      <c r="AC71" s="245"/>
      <c r="AD71" s="245"/>
      <c r="AE71" s="245"/>
      <c r="AF71" s="245"/>
      <c r="AG71" s="245"/>
      <c r="AH71" s="245"/>
      <c r="AI71" s="245"/>
      <c r="AJ71" s="85"/>
      <c r="AK71" s="85"/>
      <c r="AL71" s="85"/>
    </row>
    <row r="72" spans="1:38">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245"/>
      <c r="AA72" s="245"/>
      <c r="AB72" s="245"/>
      <c r="AC72" s="245"/>
      <c r="AD72" s="245"/>
      <c r="AE72" s="245"/>
      <c r="AF72" s="245"/>
      <c r="AG72" s="245"/>
      <c r="AH72" s="245"/>
      <c r="AI72" s="245"/>
      <c r="AJ72" s="85"/>
      <c r="AK72" s="85"/>
      <c r="AL72" s="85"/>
    </row>
    <row r="73" spans="1:38">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245"/>
      <c r="AA73" s="245"/>
      <c r="AB73" s="245"/>
      <c r="AC73" s="245"/>
      <c r="AD73" s="245"/>
      <c r="AE73" s="245"/>
      <c r="AF73" s="245"/>
      <c r="AG73" s="245"/>
      <c r="AH73" s="245"/>
      <c r="AI73" s="245"/>
      <c r="AJ73" s="85"/>
      <c r="AK73" s="85"/>
      <c r="AL73" s="85"/>
    </row>
    <row r="74" spans="1:38">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245"/>
      <c r="AA74" s="245"/>
      <c r="AB74" s="245"/>
      <c r="AC74" s="245"/>
      <c r="AD74" s="245"/>
      <c r="AE74" s="245"/>
      <c r="AF74" s="245"/>
      <c r="AG74" s="245"/>
      <c r="AH74" s="245"/>
      <c r="AI74" s="245"/>
      <c r="AJ74" s="85"/>
      <c r="AK74" s="85"/>
      <c r="AL74" s="85"/>
    </row>
    <row r="75" spans="1:38">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245"/>
      <c r="AA75" s="245"/>
      <c r="AB75" s="245"/>
      <c r="AC75" s="245"/>
      <c r="AD75" s="245"/>
      <c r="AE75" s="245"/>
      <c r="AF75" s="245"/>
      <c r="AG75" s="245"/>
      <c r="AH75" s="245"/>
      <c r="AI75" s="245"/>
      <c r="AJ75" s="85"/>
      <c r="AK75" s="85"/>
      <c r="AL75" s="85"/>
    </row>
    <row r="76" spans="1:38">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245"/>
      <c r="AA76" s="245"/>
      <c r="AB76" s="245"/>
      <c r="AC76" s="245"/>
      <c r="AD76" s="245"/>
      <c r="AE76" s="245"/>
      <c r="AF76" s="245"/>
      <c r="AG76" s="245"/>
      <c r="AH76" s="245"/>
      <c r="AI76" s="245"/>
      <c r="AJ76" s="85"/>
      <c r="AK76" s="85"/>
      <c r="AL76" s="85"/>
    </row>
    <row r="77" spans="1:38">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245"/>
      <c r="AA77" s="245"/>
      <c r="AB77" s="245"/>
      <c r="AC77" s="245"/>
      <c r="AD77" s="245"/>
      <c r="AE77" s="245"/>
      <c r="AF77" s="245"/>
      <c r="AG77" s="245"/>
      <c r="AH77" s="245"/>
      <c r="AI77" s="245"/>
      <c r="AJ77" s="85"/>
      <c r="AK77" s="85"/>
      <c r="AL77" s="85"/>
    </row>
    <row r="78" spans="1:38">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245"/>
      <c r="AA78" s="245"/>
      <c r="AB78" s="245"/>
      <c r="AC78" s="245"/>
      <c r="AD78" s="245"/>
      <c r="AE78" s="245"/>
      <c r="AF78" s="245"/>
      <c r="AG78" s="245"/>
      <c r="AH78" s="245"/>
      <c r="AI78" s="245"/>
      <c r="AJ78" s="85"/>
      <c r="AK78" s="85"/>
      <c r="AL78" s="85"/>
    </row>
    <row r="79" spans="1:38">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245"/>
      <c r="AA79" s="245"/>
      <c r="AB79" s="245"/>
      <c r="AC79" s="245"/>
      <c r="AD79" s="245"/>
      <c r="AE79" s="245"/>
      <c r="AF79" s="245"/>
      <c r="AG79" s="245"/>
      <c r="AH79" s="245"/>
      <c r="AI79" s="245"/>
      <c r="AJ79" s="85"/>
      <c r="AK79" s="85"/>
      <c r="AL79" s="85"/>
    </row>
    <row r="80" spans="1:38">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245"/>
      <c r="AA80" s="245"/>
      <c r="AB80" s="245"/>
      <c r="AC80" s="245"/>
      <c r="AD80" s="245"/>
      <c r="AE80" s="245"/>
      <c r="AF80" s="245"/>
      <c r="AG80" s="245"/>
      <c r="AH80" s="245"/>
      <c r="AI80" s="245"/>
      <c r="AJ80" s="85"/>
      <c r="AK80" s="85"/>
      <c r="AL80" s="85"/>
    </row>
    <row r="81" spans="1:38">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245"/>
      <c r="AA81" s="245"/>
      <c r="AB81" s="245"/>
      <c r="AC81" s="245"/>
      <c r="AD81" s="245"/>
      <c r="AE81" s="245"/>
      <c r="AF81" s="245"/>
      <c r="AG81" s="245"/>
      <c r="AH81" s="245"/>
      <c r="AI81" s="245"/>
      <c r="AJ81" s="85"/>
      <c r="AK81" s="85"/>
      <c r="AL81" s="85"/>
    </row>
    <row r="82" spans="1:38">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245"/>
      <c r="AA82" s="245"/>
      <c r="AB82" s="245"/>
      <c r="AC82" s="245"/>
      <c r="AD82" s="245"/>
      <c r="AE82" s="245"/>
      <c r="AF82" s="245"/>
      <c r="AG82" s="245"/>
      <c r="AH82" s="245"/>
      <c r="AI82" s="245"/>
      <c r="AJ82" s="85"/>
      <c r="AK82" s="85"/>
      <c r="AL82" s="85"/>
    </row>
    <row r="83" spans="1:38">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245"/>
      <c r="AA83" s="245"/>
      <c r="AB83" s="245"/>
      <c r="AC83" s="245"/>
      <c r="AD83" s="245"/>
      <c r="AE83" s="245"/>
      <c r="AF83" s="245"/>
      <c r="AG83" s="245"/>
      <c r="AH83" s="245"/>
      <c r="AI83" s="245"/>
      <c r="AJ83" s="85"/>
      <c r="AK83" s="85"/>
      <c r="AL83" s="85"/>
    </row>
    <row r="84" spans="1:38">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245"/>
      <c r="AA84" s="245"/>
      <c r="AB84" s="245"/>
      <c r="AC84" s="245"/>
      <c r="AD84" s="245"/>
      <c r="AE84" s="245"/>
      <c r="AF84" s="245"/>
      <c r="AG84" s="245"/>
      <c r="AH84" s="245"/>
      <c r="AI84" s="245"/>
      <c r="AJ84" s="85"/>
      <c r="AK84" s="85"/>
      <c r="AL84" s="85"/>
    </row>
    <row r="85" spans="1:38">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245"/>
      <c r="AA85" s="245"/>
      <c r="AB85" s="245"/>
      <c r="AC85" s="245"/>
      <c r="AD85" s="245"/>
      <c r="AE85" s="245"/>
      <c r="AF85" s="245"/>
      <c r="AG85" s="245"/>
      <c r="AH85" s="245"/>
      <c r="AI85" s="245"/>
      <c r="AJ85" s="85"/>
      <c r="AK85" s="85"/>
      <c r="AL85" s="85"/>
    </row>
    <row r="86" spans="1:38">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245"/>
      <c r="AA86" s="245"/>
      <c r="AB86" s="245"/>
      <c r="AC86" s="245"/>
      <c r="AD86" s="245"/>
      <c r="AE86" s="245"/>
      <c r="AF86" s="245"/>
      <c r="AG86" s="245"/>
      <c r="AH86" s="245"/>
      <c r="AI86" s="245"/>
      <c r="AJ86" s="85"/>
      <c r="AK86" s="85"/>
      <c r="AL86" s="85"/>
    </row>
    <row r="87" spans="1:38">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245"/>
      <c r="AA87" s="245"/>
      <c r="AB87" s="245"/>
      <c r="AC87" s="245"/>
      <c r="AD87" s="245"/>
      <c r="AE87" s="245"/>
      <c r="AF87" s="245"/>
      <c r="AG87" s="245"/>
      <c r="AH87" s="245"/>
      <c r="AI87" s="245"/>
      <c r="AJ87" s="85"/>
      <c r="AK87" s="85"/>
      <c r="AL87" s="85"/>
    </row>
    <row r="88" spans="1:38">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245"/>
      <c r="AA88" s="245"/>
      <c r="AB88" s="245"/>
      <c r="AC88" s="245"/>
      <c r="AD88" s="245"/>
      <c r="AE88" s="245"/>
      <c r="AF88" s="245"/>
      <c r="AG88" s="245"/>
      <c r="AH88" s="245"/>
      <c r="AI88" s="245"/>
      <c r="AJ88" s="85"/>
      <c r="AK88" s="85"/>
      <c r="AL88" s="85"/>
    </row>
    <row r="89" spans="1:38">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245"/>
      <c r="AA89" s="245"/>
      <c r="AB89" s="245"/>
      <c r="AC89" s="245"/>
      <c r="AD89" s="245"/>
      <c r="AE89" s="245"/>
      <c r="AF89" s="245"/>
      <c r="AG89" s="245"/>
      <c r="AH89" s="245"/>
      <c r="AI89" s="245"/>
      <c r="AJ89" s="85"/>
      <c r="AK89" s="85"/>
      <c r="AL89" s="85"/>
    </row>
    <row r="90" spans="1:38">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245"/>
      <c r="AA90" s="85"/>
      <c r="AB90" s="85"/>
      <c r="AC90" s="85"/>
      <c r="AD90" s="85"/>
      <c r="AE90" s="85"/>
      <c r="AF90" s="85"/>
      <c r="AG90" s="85"/>
      <c r="AH90" s="85"/>
      <c r="AI90" s="85"/>
      <c r="AJ90" s="85"/>
      <c r="AK90" s="85"/>
      <c r="AL90" s="85"/>
    </row>
    <row r="91" spans="1:38">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245"/>
      <c r="AA91" s="85"/>
      <c r="AB91" s="85"/>
      <c r="AC91" s="85"/>
      <c r="AD91" s="85"/>
      <c r="AE91" s="85"/>
      <c r="AF91" s="85"/>
      <c r="AG91" s="85"/>
      <c r="AH91" s="85"/>
      <c r="AI91" s="85"/>
      <c r="AJ91" s="85"/>
      <c r="AK91" s="85"/>
      <c r="AL91" s="85"/>
    </row>
    <row r="92" spans="1:38">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245"/>
      <c r="AA92" s="85"/>
      <c r="AB92" s="85"/>
      <c r="AC92" s="85"/>
      <c r="AD92" s="85"/>
      <c r="AE92" s="85"/>
      <c r="AF92" s="85"/>
      <c r="AG92" s="85"/>
      <c r="AH92" s="85"/>
      <c r="AI92" s="85"/>
      <c r="AJ92" s="85"/>
      <c r="AK92" s="85"/>
      <c r="AL92" s="85"/>
    </row>
    <row r="93" spans="1:38">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245"/>
      <c r="AA93" s="85"/>
      <c r="AB93" s="85"/>
      <c r="AC93" s="85"/>
      <c r="AD93" s="85"/>
      <c r="AE93" s="85"/>
      <c r="AF93" s="85"/>
      <c r="AG93" s="85"/>
      <c r="AH93" s="85"/>
      <c r="AI93" s="85"/>
      <c r="AJ93" s="85"/>
      <c r="AK93" s="85"/>
      <c r="AL93" s="85"/>
    </row>
    <row r="94" spans="1:38">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245"/>
      <c r="AA94" s="85"/>
      <c r="AB94" s="85"/>
      <c r="AC94" s="85"/>
      <c r="AD94" s="85"/>
      <c r="AE94" s="85"/>
      <c r="AF94" s="85"/>
      <c r="AG94" s="85"/>
      <c r="AH94" s="85"/>
      <c r="AI94" s="85"/>
      <c r="AJ94" s="85"/>
      <c r="AK94" s="85"/>
      <c r="AL94" s="85"/>
    </row>
    <row r="95" spans="1:38">
      <c r="Z95" s="224"/>
    </row>
    <row r="96" spans="1:38">
      <c r="Z96" s="224"/>
    </row>
    <row r="97" spans="26:26">
      <c r="Z97" s="224"/>
    </row>
  </sheetData>
  <mergeCells count="5">
    <mergeCell ref="AB5:AL5"/>
    <mergeCell ref="A8:A9"/>
    <mergeCell ref="AI8:AJ8"/>
    <mergeCell ref="A24:A25"/>
    <mergeCell ref="AI24:AJ2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I488"/>
  <sheetViews>
    <sheetView workbookViewId="0">
      <pane ySplit="6" topLeftCell="A7" activePane="bottomLeft" state="frozen"/>
      <selection pane="bottomLeft" activeCell="A7" sqref="A7"/>
    </sheetView>
  </sheetViews>
  <sheetFormatPr defaultRowHeight="15"/>
  <cols>
    <col min="1" max="1" width="27.7109375" style="428" bestFit="1" customWidth="1"/>
    <col min="2" max="2" width="41.85546875" style="135" bestFit="1" customWidth="1"/>
    <col min="3" max="3" width="39.85546875" style="428" bestFit="1" customWidth="1"/>
    <col min="4" max="5" width="12.42578125" style="428" customWidth="1"/>
    <col min="6" max="16384" width="9.140625" style="428"/>
  </cols>
  <sheetData>
    <row r="5" spans="1:9" ht="15.75" thickBot="1">
      <c r="A5" s="660" t="s">
        <v>604</v>
      </c>
      <c r="B5" s="660"/>
      <c r="C5" s="660"/>
      <c r="D5" s="660"/>
      <c r="E5" s="660"/>
      <c r="F5" s="142"/>
    </row>
    <row r="6" spans="1:9" ht="15.75" customHeight="1" thickBot="1">
      <c r="A6" s="143" t="s">
        <v>646</v>
      </c>
      <c r="B6" s="144" t="s">
        <v>647</v>
      </c>
      <c r="C6" s="167" t="s">
        <v>648</v>
      </c>
      <c r="D6" s="578" t="s">
        <v>649</v>
      </c>
      <c r="E6" s="141" t="s">
        <v>650</v>
      </c>
      <c r="F6" s="140" t="s">
        <v>651</v>
      </c>
      <c r="G6" s="141" t="s">
        <v>652</v>
      </c>
      <c r="H6" s="137"/>
    </row>
    <row r="7" spans="1:9" ht="15.75" customHeight="1">
      <c r="A7" s="471" t="s">
        <v>1092</v>
      </c>
      <c r="B7" s="625" t="s">
        <v>1326</v>
      </c>
      <c r="C7" s="472" t="s">
        <v>653</v>
      </c>
      <c r="D7" s="580">
        <v>1</v>
      </c>
      <c r="E7" s="596">
        <v>0</v>
      </c>
      <c r="F7" s="602">
        <v>2</v>
      </c>
      <c r="G7" s="603">
        <v>0</v>
      </c>
    </row>
    <row r="8" spans="1:9" s="579" customFormat="1" ht="15.75" customHeight="1">
      <c r="A8" s="657" t="str">
        <f>CONCATENATE("Total ",A7,":")</f>
        <v>Total Baryte:</v>
      </c>
      <c r="B8" s="662"/>
      <c r="C8" s="659"/>
      <c r="D8" s="581">
        <f>SUMIF($A$7:$A$485,$A7,D$7:D$485)</f>
        <v>1</v>
      </c>
      <c r="E8" s="597">
        <f>SUMIF($A$7:$A$485,$A7,E$7:E$485)</f>
        <v>0</v>
      </c>
      <c r="F8" s="581">
        <f>SUMIF($A$7:$A$485,$A7,F$7:F$485)</f>
        <v>2</v>
      </c>
      <c r="G8" s="597">
        <f>SUMIF($A$7:$A$485,$A7,G$7:G$485)</f>
        <v>0</v>
      </c>
    </row>
    <row r="9" spans="1:9" ht="15.75" customHeight="1">
      <c r="A9" s="589" t="s">
        <v>1093</v>
      </c>
      <c r="B9" s="623" t="s">
        <v>1327</v>
      </c>
      <c r="C9" s="590" t="s">
        <v>654</v>
      </c>
      <c r="D9" s="591">
        <v>2332</v>
      </c>
      <c r="E9" s="598">
        <v>2487</v>
      </c>
      <c r="F9" s="604">
        <v>1851</v>
      </c>
      <c r="G9" s="605">
        <v>1992</v>
      </c>
      <c r="H9" s="579"/>
    </row>
    <row r="10" spans="1:9" ht="15.75" customHeight="1">
      <c r="A10" s="473" t="s">
        <v>1093</v>
      </c>
      <c r="B10" s="620" t="s">
        <v>1328</v>
      </c>
      <c r="C10" s="469" t="s">
        <v>655</v>
      </c>
      <c r="D10" s="582">
        <v>1398</v>
      </c>
      <c r="E10" s="599">
        <v>1267</v>
      </c>
      <c r="F10" s="606">
        <v>1327</v>
      </c>
      <c r="G10" s="607">
        <v>1197</v>
      </c>
    </row>
    <row r="11" spans="1:9" ht="15.75" customHeight="1">
      <c r="A11" s="473" t="s">
        <v>1093</v>
      </c>
      <c r="B11" s="620" t="s">
        <v>1328</v>
      </c>
      <c r="C11" s="469" t="s">
        <v>656</v>
      </c>
      <c r="D11" s="582">
        <v>3866</v>
      </c>
      <c r="E11" s="599">
        <v>3284</v>
      </c>
      <c r="F11" s="606">
        <v>3537</v>
      </c>
      <c r="G11" s="607">
        <v>2962</v>
      </c>
    </row>
    <row r="12" spans="1:9" ht="15.75" customHeight="1">
      <c r="A12" s="473" t="s">
        <v>1093</v>
      </c>
      <c r="B12" s="624" t="s">
        <v>1329</v>
      </c>
      <c r="C12" s="469" t="s">
        <v>657</v>
      </c>
      <c r="D12" s="582">
        <v>0</v>
      </c>
      <c r="E12" s="599">
        <v>0</v>
      </c>
      <c r="F12" s="606">
        <v>1</v>
      </c>
      <c r="G12" s="607">
        <v>0</v>
      </c>
    </row>
    <row r="13" spans="1:9" s="579" customFormat="1" ht="15.75" customHeight="1">
      <c r="A13" s="657" t="str">
        <f>CONCATENATE("Total ",A12,":")</f>
        <v>Total Bauxite and Alumina:</v>
      </c>
      <c r="B13" s="658"/>
      <c r="C13" s="659"/>
      <c r="D13" s="581">
        <f>SUMIF($A$7:$A$485,$A12,D$7:D$485)</f>
        <v>7596</v>
      </c>
      <c r="E13" s="597">
        <f>SUMIF($A$7:$A$485,$A12,E$7:E$485)</f>
        <v>7038</v>
      </c>
      <c r="F13" s="581">
        <f>SUMIF($A$7:$A$485,$A12,F$7:F$485)</f>
        <v>6716</v>
      </c>
      <c r="G13" s="597">
        <f>SUMIF($A$7:$A$485,$A12,G$7:G$485)</f>
        <v>6151</v>
      </c>
    </row>
    <row r="14" spans="1:9" s="579" customFormat="1" ht="15.75" customHeight="1">
      <c r="A14" s="586" t="s">
        <v>98</v>
      </c>
      <c r="B14" s="620" t="s">
        <v>1303</v>
      </c>
      <c r="C14" s="470" t="s">
        <v>802</v>
      </c>
      <c r="D14" s="587">
        <v>862</v>
      </c>
      <c r="E14" s="600">
        <v>732</v>
      </c>
      <c r="F14" s="606">
        <v>623</v>
      </c>
      <c r="G14" s="608">
        <v>579</v>
      </c>
      <c r="H14" s="470"/>
      <c r="I14" s="470"/>
    </row>
    <row r="15" spans="1:9" s="579" customFormat="1" ht="15.75" customHeight="1">
      <c r="A15" s="586" t="s">
        <v>98</v>
      </c>
      <c r="B15" s="620" t="s">
        <v>1188</v>
      </c>
      <c r="C15" s="470" t="s">
        <v>803</v>
      </c>
      <c r="D15" s="587">
        <v>450</v>
      </c>
      <c r="E15" s="600">
        <v>424</v>
      </c>
      <c r="F15" s="606">
        <v>481</v>
      </c>
      <c r="G15" s="608">
        <v>431</v>
      </c>
      <c r="H15" s="470"/>
      <c r="I15" s="470"/>
    </row>
    <row r="16" spans="1:9" s="579" customFormat="1" ht="15.75" customHeight="1">
      <c r="A16" s="586" t="s">
        <v>98</v>
      </c>
      <c r="B16" s="620" t="s">
        <v>1189</v>
      </c>
      <c r="C16" s="470" t="s">
        <v>804</v>
      </c>
      <c r="D16" s="587">
        <v>6</v>
      </c>
      <c r="E16" s="600">
        <v>9</v>
      </c>
      <c r="F16" s="606">
        <v>8</v>
      </c>
      <c r="G16" s="608">
        <v>13</v>
      </c>
      <c r="H16" s="470"/>
      <c r="I16" s="470"/>
    </row>
    <row r="17" spans="1:9" s="579" customFormat="1" ht="15.75" customHeight="1">
      <c r="A17" s="586" t="s">
        <v>98</v>
      </c>
      <c r="B17" s="620" t="s">
        <v>1190</v>
      </c>
      <c r="C17" s="470" t="s">
        <v>805</v>
      </c>
      <c r="D17" s="587">
        <v>358</v>
      </c>
      <c r="E17" s="600">
        <v>317</v>
      </c>
      <c r="F17" s="606">
        <v>316</v>
      </c>
      <c r="G17" s="608">
        <v>275</v>
      </c>
      <c r="H17" s="470"/>
      <c r="I17" s="470"/>
    </row>
    <row r="18" spans="1:9" s="579" customFormat="1" ht="15.75" customHeight="1">
      <c r="A18" s="586" t="s">
        <v>98</v>
      </c>
      <c r="B18" s="620" t="s">
        <v>1191</v>
      </c>
      <c r="C18" s="470" t="s">
        <v>806</v>
      </c>
      <c r="D18" s="587">
        <v>19</v>
      </c>
      <c r="E18" s="600">
        <v>31</v>
      </c>
      <c r="F18" s="606">
        <v>8</v>
      </c>
      <c r="G18" s="608">
        <v>10</v>
      </c>
      <c r="H18" s="470"/>
      <c r="I18" s="470"/>
    </row>
    <row r="19" spans="1:9" s="579" customFormat="1" ht="15.75" customHeight="1">
      <c r="A19" s="586" t="s">
        <v>98</v>
      </c>
      <c r="B19" s="620" t="s">
        <v>1192</v>
      </c>
      <c r="C19" s="470" t="s">
        <v>807</v>
      </c>
      <c r="D19" s="587">
        <v>803</v>
      </c>
      <c r="E19" s="600">
        <v>587</v>
      </c>
      <c r="F19" s="606">
        <v>801</v>
      </c>
      <c r="G19" s="608">
        <v>572</v>
      </c>
      <c r="H19" s="470"/>
      <c r="I19" s="470"/>
    </row>
    <row r="20" spans="1:9" s="579" customFormat="1" ht="15.75" customHeight="1">
      <c r="A20" s="586" t="s">
        <v>98</v>
      </c>
      <c r="B20" s="620" t="s">
        <v>1193</v>
      </c>
      <c r="C20" s="470" t="s">
        <v>808</v>
      </c>
      <c r="D20" s="587">
        <v>0</v>
      </c>
      <c r="E20" s="600">
        <v>0</v>
      </c>
      <c r="F20" s="606">
        <v>0</v>
      </c>
      <c r="G20" s="608">
        <v>0</v>
      </c>
      <c r="H20" s="470"/>
      <c r="I20" s="470"/>
    </row>
    <row r="21" spans="1:9" s="579" customFormat="1" ht="15.75" customHeight="1">
      <c r="A21" s="657" t="str">
        <f>CONCATENATE("Total ",A20,":")</f>
        <v>Total Base Metals:</v>
      </c>
      <c r="B21" s="658"/>
      <c r="C21" s="659"/>
      <c r="D21" s="581">
        <f>SUMIF($A$7:$A$485,$A20,D$7:D$485)</f>
        <v>2498</v>
      </c>
      <c r="E21" s="597">
        <f>SUMIF($A$7:$A$485,$A20,E$7:E$485)</f>
        <v>2100</v>
      </c>
      <c r="F21" s="581">
        <f>SUMIF($A$7:$A$485,$A20,F$7:F$485)</f>
        <v>2237</v>
      </c>
      <c r="G21" s="597">
        <f>SUMIF($A$7:$A$485,$A20,G$7:G$485)</f>
        <v>1880</v>
      </c>
    </row>
    <row r="22" spans="1:9" ht="15.75" customHeight="1">
      <c r="A22" s="473" t="s">
        <v>1094</v>
      </c>
      <c r="B22" s="620" t="s">
        <v>658</v>
      </c>
      <c r="C22" s="469" t="s">
        <v>659</v>
      </c>
      <c r="D22" s="582">
        <v>97</v>
      </c>
      <c r="E22" s="599">
        <v>23</v>
      </c>
      <c r="F22" s="606">
        <v>49</v>
      </c>
      <c r="G22" s="607">
        <v>17</v>
      </c>
    </row>
    <row r="23" spans="1:9" ht="15.75" customHeight="1">
      <c r="A23" s="473" t="s">
        <v>1094</v>
      </c>
      <c r="B23" s="624" t="s">
        <v>660</v>
      </c>
      <c r="C23" s="469" t="s">
        <v>661</v>
      </c>
      <c r="D23" s="582">
        <v>51</v>
      </c>
      <c r="E23" s="599">
        <v>30</v>
      </c>
      <c r="F23" s="606">
        <v>51</v>
      </c>
      <c r="G23" s="607">
        <v>29</v>
      </c>
    </row>
    <row r="24" spans="1:9" s="579" customFormat="1" ht="15.75" customHeight="1">
      <c r="A24" s="657" t="str">
        <f>CONCATENATE("Total ",A23,":")</f>
        <v>Total Chemicals:</v>
      </c>
      <c r="B24" s="658"/>
      <c r="C24" s="659"/>
      <c r="D24" s="581">
        <f>SUMIF($A$7:$A$485,$A23,D$7:D$485)</f>
        <v>148</v>
      </c>
      <c r="E24" s="597">
        <f>SUMIF($A$7:$A$485,$A23,E$7:E$485)</f>
        <v>53</v>
      </c>
      <c r="F24" s="581">
        <f>SUMIF($A$7:$A$485,$A23,F$7:F$485)</f>
        <v>100</v>
      </c>
      <c r="G24" s="597">
        <f>SUMIF($A$7:$A$485,$A23,G$7:G$485)</f>
        <v>46</v>
      </c>
    </row>
    <row r="25" spans="1:9" ht="15.75" customHeight="1">
      <c r="A25" s="589" t="s">
        <v>1095</v>
      </c>
      <c r="B25" s="585" t="s">
        <v>662</v>
      </c>
      <c r="C25" s="590" t="s">
        <v>663</v>
      </c>
      <c r="D25" s="591">
        <v>7</v>
      </c>
      <c r="E25" s="598">
        <v>5</v>
      </c>
      <c r="F25" s="606">
        <v>3</v>
      </c>
      <c r="G25" s="608">
        <v>3</v>
      </c>
      <c r="H25" s="138"/>
      <c r="I25" s="470"/>
    </row>
    <row r="26" spans="1:9" s="579" customFormat="1" ht="15.75" customHeight="1">
      <c r="A26" s="657" t="str">
        <f>CONCATENATE("Total ",A25,":")</f>
        <v>Total Chromite and Platinoids:</v>
      </c>
      <c r="B26" s="658"/>
      <c r="C26" s="659"/>
      <c r="D26" s="581">
        <f>SUMIF($A$7:$A$485,$A25,D$7:D$485)</f>
        <v>7</v>
      </c>
      <c r="E26" s="597">
        <f>SUMIF($A$7:$A$485,$A25,E$7:E$485)</f>
        <v>5</v>
      </c>
      <c r="F26" s="581">
        <f>SUMIF($A$7:$A$485,$A25,F$7:F$485)</f>
        <v>3</v>
      </c>
      <c r="G26" s="597">
        <f>SUMIF($A$7:$A$485,$A25,G$7:G$485)</f>
        <v>3</v>
      </c>
    </row>
    <row r="27" spans="1:9" ht="15.75" customHeight="1">
      <c r="A27" s="586" t="s">
        <v>126</v>
      </c>
      <c r="B27" s="620" t="s">
        <v>1096</v>
      </c>
      <c r="C27" s="470" t="s">
        <v>664</v>
      </c>
      <c r="D27" s="587">
        <v>70</v>
      </c>
      <c r="E27" s="600">
        <v>22</v>
      </c>
      <c r="F27" s="606">
        <v>55</v>
      </c>
      <c r="G27" s="609">
        <v>16</v>
      </c>
      <c r="H27" s="470"/>
      <c r="I27" s="470"/>
    </row>
    <row r="28" spans="1:9" s="579" customFormat="1" ht="15.75" customHeight="1">
      <c r="A28" s="586" t="s">
        <v>126</v>
      </c>
      <c r="B28" s="620" t="s">
        <v>1097</v>
      </c>
      <c r="C28" s="470" t="s">
        <v>665</v>
      </c>
      <c r="D28" s="587">
        <v>2</v>
      </c>
      <c r="E28" s="600">
        <v>3</v>
      </c>
      <c r="F28" s="606">
        <v>5</v>
      </c>
      <c r="G28" s="608">
        <v>3</v>
      </c>
      <c r="H28" s="470"/>
      <c r="I28" s="470"/>
    </row>
    <row r="29" spans="1:9" ht="15.75" customHeight="1">
      <c r="A29" s="586" t="s">
        <v>126</v>
      </c>
      <c r="B29" s="621" t="s">
        <v>1302</v>
      </c>
      <c r="C29" s="228" t="s">
        <v>666</v>
      </c>
      <c r="D29" s="628">
        <v>13</v>
      </c>
      <c r="E29" s="629">
        <v>11</v>
      </c>
      <c r="F29" s="606">
        <v>10</v>
      </c>
      <c r="G29" s="608">
        <v>8</v>
      </c>
      <c r="H29" s="470"/>
      <c r="I29" s="470"/>
    </row>
    <row r="30" spans="1:9" ht="15.75" customHeight="1">
      <c r="A30" s="586" t="s">
        <v>126</v>
      </c>
      <c r="B30" s="620" t="s">
        <v>1098</v>
      </c>
      <c r="C30" s="470" t="s">
        <v>667</v>
      </c>
      <c r="D30" s="630">
        <v>39</v>
      </c>
      <c r="E30" s="119">
        <v>12</v>
      </c>
      <c r="F30" s="606">
        <v>29</v>
      </c>
      <c r="G30" s="608">
        <v>6</v>
      </c>
      <c r="H30" s="470"/>
      <c r="I30" s="470"/>
    </row>
    <row r="31" spans="1:9" ht="15.75" customHeight="1">
      <c r="A31" s="586" t="s">
        <v>126</v>
      </c>
      <c r="B31" s="621" t="s">
        <v>1099</v>
      </c>
      <c r="C31" s="228" t="s">
        <v>668</v>
      </c>
      <c r="D31" s="628">
        <v>2</v>
      </c>
      <c r="E31" s="629">
        <v>0</v>
      </c>
      <c r="F31" s="606">
        <v>12</v>
      </c>
      <c r="G31" s="608">
        <v>4</v>
      </c>
      <c r="H31" s="470"/>
      <c r="I31" s="470"/>
    </row>
    <row r="32" spans="1:9" ht="15.75" customHeight="1">
      <c r="A32" s="586" t="s">
        <v>126</v>
      </c>
      <c r="B32" s="620" t="s">
        <v>1100</v>
      </c>
      <c r="C32" s="470" t="s">
        <v>669</v>
      </c>
      <c r="D32" s="630">
        <v>14</v>
      </c>
      <c r="E32" s="119">
        <v>11</v>
      </c>
      <c r="F32" s="606">
        <v>15</v>
      </c>
      <c r="G32" s="608">
        <v>10</v>
      </c>
      <c r="H32" s="470"/>
      <c r="I32" s="470"/>
    </row>
    <row r="33" spans="1:9" s="579" customFormat="1" ht="15.75" customHeight="1">
      <c r="A33" s="657" t="str">
        <f>CONCATENATE("Total ",A32,":")</f>
        <v>Total Clays:</v>
      </c>
      <c r="B33" s="658"/>
      <c r="C33" s="659"/>
      <c r="D33" s="581">
        <f>SUMIF($A$7:$A$485,$A32,D$7:D$485)</f>
        <v>140</v>
      </c>
      <c r="E33" s="597">
        <f>SUMIF($A$7:$A$485,$A32,E$7:E$485)</f>
        <v>59</v>
      </c>
      <c r="F33" s="581">
        <f>SUMIF($A$7:$A$485,$A32,F$7:F$485)</f>
        <v>126</v>
      </c>
      <c r="G33" s="597">
        <f>SUMIF($A$7:$A$485,$A32,G$7:G$485)</f>
        <v>47</v>
      </c>
    </row>
    <row r="34" spans="1:9" ht="15.75" customHeight="1">
      <c r="A34" s="586" t="s">
        <v>99</v>
      </c>
      <c r="B34" s="620" t="s">
        <v>1101</v>
      </c>
      <c r="C34" s="470" t="s">
        <v>670</v>
      </c>
      <c r="D34" s="587">
        <v>269</v>
      </c>
      <c r="E34" s="600">
        <v>503</v>
      </c>
      <c r="F34" s="606">
        <v>265</v>
      </c>
      <c r="G34" s="608">
        <v>448</v>
      </c>
      <c r="H34" s="470"/>
      <c r="I34" s="470"/>
    </row>
    <row r="35" spans="1:9" ht="15.75" customHeight="1">
      <c r="A35" s="586" t="s">
        <v>99</v>
      </c>
      <c r="B35" s="620" t="s">
        <v>1102</v>
      </c>
      <c r="C35" s="470" t="s">
        <v>671</v>
      </c>
      <c r="D35" s="587">
        <v>767</v>
      </c>
      <c r="E35" s="600">
        <v>343</v>
      </c>
      <c r="F35" s="606">
        <v>842</v>
      </c>
      <c r="G35" s="608">
        <v>352</v>
      </c>
      <c r="H35" s="138"/>
      <c r="I35" s="470"/>
    </row>
    <row r="36" spans="1:9" s="579" customFormat="1" ht="15.75" customHeight="1">
      <c r="A36" s="657" t="str">
        <f>CONCATENATE("Total ",A35,":")</f>
        <v>Total Coal:</v>
      </c>
      <c r="B36" s="658"/>
      <c r="C36" s="659"/>
      <c r="D36" s="581">
        <f>SUMIF($A$7:$A$485,$A35,D$7:D$485)</f>
        <v>1036</v>
      </c>
      <c r="E36" s="597">
        <f>SUMIF($A$7:$A$485,$A35,E$7:E$485)</f>
        <v>846</v>
      </c>
      <c r="F36" s="581">
        <f>SUMIF($A$7:$A$485,$A35,F$7:F$485)</f>
        <v>1107</v>
      </c>
      <c r="G36" s="597">
        <f>SUMIF($A$7:$A$485,$A35,G$7:G$485)</f>
        <v>800</v>
      </c>
    </row>
    <row r="37" spans="1:9" ht="15.75" customHeight="1">
      <c r="A37" s="586" t="s">
        <v>127</v>
      </c>
      <c r="B37" s="620" t="s">
        <v>1103</v>
      </c>
      <c r="C37" s="470" t="s">
        <v>672</v>
      </c>
      <c r="D37" s="630">
        <v>11</v>
      </c>
      <c r="E37" s="119">
        <v>9</v>
      </c>
      <c r="F37" s="606">
        <v>8</v>
      </c>
      <c r="G37" s="609">
        <v>3</v>
      </c>
      <c r="H37" s="470"/>
      <c r="I37" s="470"/>
    </row>
    <row r="38" spans="1:9" ht="15.75" customHeight="1">
      <c r="A38" s="586" t="s">
        <v>127</v>
      </c>
      <c r="B38" s="620" t="s">
        <v>1104</v>
      </c>
      <c r="C38" s="470" t="s">
        <v>673</v>
      </c>
      <c r="D38" s="630">
        <v>58</v>
      </c>
      <c r="E38" s="119">
        <v>6</v>
      </c>
      <c r="F38" s="606">
        <v>51</v>
      </c>
      <c r="G38" s="608">
        <v>7</v>
      </c>
      <c r="H38" s="470"/>
      <c r="I38" s="470"/>
    </row>
    <row r="39" spans="1:9" ht="15.75" customHeight="1">
      <c r="A39" s="586" t="s">
        <v>127</v>
      </c>
      <c r="B39" s="620" t="s">
        <v>1105</v>
      </c>
      <c r="C39" s="470" t="s">
        <v>674</v>
      </c>
      <c r="D39" s="630">
        <v>5</v>
      </c>
      <c r="E39" s="119">
        <v>4</v>
      </c>
      <c r="F39" s="606">
        <v>4</v>
      </c>
      <c r="G39" s="608">
        <v>2</v>
      </c>
      <c r="H39" s="138"/>
      <c r="I39" s="470"/>
    </row>
    <row r="40" spans="1:9" ht="15.75" customHeight="1">
      <c r="A40" s="586" t="s">
        <v>127</v>
      </c>
      <c r="B40" s="620" t="s">
        <v>460</v>
      </c>
      <c r="C40" s="470" t="s">
        <v>675</v>
      </c>
      <c r="D40" s="630">
        <v>11</v>
      </c>
      <c r="E40" s="119">
        <v>9</v>
      </c>
      <c r="F40" s="606">
        <v>6</v>
      </c>
      <c r="G40" s="609">
        <v>2</v>
      </c>
      <c r="H40" s="470"/>
      <c r="I40" s="470"/>
    </row>
    <row r="41" spans="1:9" ht="15.75" customHeight="1">
      <c r="A41" s="586" t="s">
        <v>127</v>
      </c>
      <c r="B41" s="621" t="s">
        <v>1106</v>
      </c>
      <c r="C41" s="228" t="s">
        <v>676</v>
      </c>
      <c r="D41" s="628">
        <v>3</v>
      </c>
      <c r="E41" s="629">
        <v>0</v>
      </c>
      <c r="F41" s="606">
        <v>3</v>
      </c>
      <c r="G41" s="608">
        <v>0</v>
      </c>
      <c r="H41" s="470"/>
      <c r="I41" s="470"/>
    </row>
    <row r="42" spans="1:9" ht="15.75" customHeight="1">
      <c r="A42" s="586" t="s">
        <v>127</v>
      </c>
      <c r="B42" s="620" t="s">
        <v>1107</v>
      </c>
      <c r="C42" s="470" t="s">
        <v>677</v>
      </c>
      <c r="D42" s="630">
        <v>10</v>
      </c>
      <c r="E42" s="119">
        <v>10</v>
      </c>
      <c r="F42" s="606">
        <v>0</v>
      </c>
      <c r="G42" s="608">
        <v>0</v>
      </c>
      <c r="H42" s="470"/>
      <c r="I42" s="470"/>
    </row>
    <row r="43" spans="1:9" ht="15.75" customHeight="1">
      <c r="A43" s="586" t="s">
        <v>127</v>
      </c>
      <c r="B43" s="620" t="s">
        <v>1104</v>
      </c>
      <c r="C43" s="470" t="s">
        <v>678</v>
      </c>
      <c r="D43" s="630">
        <v>8</v>
      </c>
      <c r="E43" s="119">
        <v>9</v>
      </c>
      <c r="F43" s="606">
        <v>7</v>
      </c>
      <c r="G43" s="608">
        <v>3</v>
      </c>
      <c r="H43" s="138"/>
      <c r="I43" s="470"/>
    </row>
    <row r="44" spans="1:9" ht="15.75" customHeight="1">
      <c r="A44" s="586" t="s">
        <v>127</v>
      </c>
      <c r="B44" s="621" t="s">
        <v>1104</v>
      </c>
      <c r="C44" s="228" t="s">
        <v>679</v>
      </c>
      <c r="D44" s="628">
        <v>21</v>
      </c>
      <c r="E44" s="629">
        <v>16</v>
      </c>
      <c r="F44" s="606">
        <v>12</v>
      </c>
      <c r="G44" s="609">
        <v>11</v>
      </c>
      <c r="H44" s="592"/>
      <c r="I44" s="470"/>
    </row>
    <row r="45" spans="1:9" ht="15.75" customHeight="1">
      <c r="A45" s="586" t="s">
        <v>127</v>
      </c>
      <c r="B45" s="620" t="s">
        <v>1108</v>
      </c>
      <c r="C45" s="470" t="s">
        <v>680</v>
      </c>
      <c r="D45" s="630">
        <v>1</v>
      </c>
      <c r="E45" s="119">
        <v>1</v>
      </c>
      <c r="F45" s="610">
        <v>1</v>
      </c>
      <c r="G45" s="611">
        <v>1</v>
      </c>
      <c r="H45" s="592"/>
      <c r="I45" s="470"/>
    </row>
    <row r="46" spans="1:9" ht="15.75" customHeight="1">
      <c r="A46" s="586" t="s">
        <v>127</v>
      </c>
      <c r="B46" s="620" t="s">
        <v>1104</v>
      </c>
      <c r="C46" s="470" t="s">
        <v>681</v>
      </c>
      <c r="D46" s="630">
        <v>40</v>
      </c>
      <c r="E46" s="119">
        <v>11</v>
      </c>
      <c r="F46" s="610">
        <v>37</v>
      </c>
      <c r="G46" s="611">
        <v>12</v>
      </c>
      <c r="H46" s="470"/>
      <c r="I46" s="470"/>
    </row>
    <row r="47" spans="1:9" ht="15.75" customHeight="1">
      <c r="A47" s="586" t="s">
        <v>127</v>
      </c>
      <c r="B47" s="620" t="s">
        <v>1109</v>
      </c>
      <c r="C47" s="470" t="s">
        <v>682</v>
      </c>
      <c r="D47" s="630">
        <v>0</v>
      </c>
      <c r="E47" s="119">
        <v>0</v>
      </c>
      <c r="F47" s="606">
        <v>0</v>
      </c>
      <c r="G47" s="608">
        <v>0</v>
      </c>
      <c r="H47" s="470"/>
      <c r="I47" s="470"/>
    </row>
    <row r="48" spans="1:9" ht="15.75" customHeight="1">
      <c r="A48" s="586" t="s">
        <v>127</v>
      </c>
      <c r="B48" s="620" t="s">
        <v>1104</v>
      </c>
      <c r="C48" s="470" t="s">
        <v>683</v>
      </c>
      <c r="D48" s="630">
        <v>56</v>
      </c>
      <c r="E48" s="119">
        <v>7</v>
      </c>
      <c r="F48" s="606">
        <v>65</v>
      </c>
      <c r="G48" s="608">
        <v>7</v>
      </c>
      <c r="H48" s="470"/>
      <c r="I48" s="470"/>
    </row>
    <row r="49" spans="1:9" ht="15.75" customHeight="1">
      <c r="A49" s="586" t="s">
        <v>127</v>
      </c>
      <c r="B49" s="620" t="s">
        <v>1104</v>
      </c>
      <c r="C49" s="470" t="s">
        <v>684</v>
      </c>
      <c r="D49" s="630">
        <v>22</v>
      </c>
      <c r="E49" s="119">
        <v>21</v>
      </c>
      <c r="F49" s="606">
        <v>13</v>
      </c>
      <c r="G49" s="608">
        <v>11</v>
      </c>
      <c r="H49" s="470"/>
      <c r="I49" s="470"/>
    </row>
    <row r="50" spans="1:9" ht="15.75" customHeight="1">
      <c r="A50" s="586" t="s">
        <v>127</v>
      </c>
      <c r="B50" s="620" t="s">
        <v>460</v>
      </c>
      <c r="C50" s="470" t="s">
        <v>685</v>
      </c>
      <c r="D50" s="630">
        <v>36</v>
      </c>
      <c r="E50" s="119">
        <v>19</v>
      </c>
      <c r="F50" s="606">
        <v>39</v>
      </c>
      <c r="G50" s="608">
        <v>18</v>
      </c>
      <c r="H50" s="470"/>
      <c r="I50" s="470"/>
    </row>
    <row r="51" spans="1:9" ht="15.75" customHeight="1">
      <c r="A51" s="586" t="s">
        <v>127</v>
      </c>
      <c r="B51" s="620" t="s">
        <v>1104</v>
      </c>
      <c r="C51" s="470" t="s">
        <v>686</v>
      </c>
      <c r="D51" s="630">
        <v>78</v>
      </c>
      <c r="E51" s="119">
        <v>11</v>
      </c>
      <c r="F51" s="606">
        <v>111</v>
      </c>
      <c r="G51" s="608">
        <v>12</v>
      </c>
      <c r="H51" s="470"/>
      <c r="I51" s="470"/>
    </row>
    <row r="52" spans="1:9" ht="15.75" customHeight="1">
      <c r="A52" s="586" t="s">
        <v>127</v>
      </c>
      <c r="B52" s="620" t="s">
        <v>1104</v>
      </c>
      <c r="C52" s="470" t="s">
        <v>687</v>
      </c>
      <c r="D52" s="630">
        <v>234</v>
      </c>
      <c r="E52" s="119">
        <v>66</v>
      </c>
      <c r="F52" s="606">
        <v>460</v>
      </c>
      <c r="G52" s="608">
        <v>89</v>
      </c>
      <c r="H52" s="592"/>
      <c r="I52" s="470"/>
    </row>
    <row r="53" spans="1:9" ht="15.75" customHeight="1">
      <c r="A53" s="586" t="s">
        <v>127</v>
      </c>
      <c r="B53" s="620" t="s">
        <v>460</v>
      </c>
      <c r="C53" s="470" t="s">
        <v>688</v>
      </c>
      <c r="D53" s="630">
        <v>88</v>
      </c>
      <c r="E53" s="119">
        <v>46</v>
      </c>
      <c r="F53" s="606">
        <v>88</v>
      </c>
      <c r="G53" s="609">
        <v>41</v>
      </c>
      <c r="H53" s="593"/>
      <c r="I53" s="470"/>
    </row>
    <row r="54" spans="1:9" ht="15.75" customHeight="1">
      <c r="A54" s="586" t="s">
        <v>127</v>
      </c>
      <c r="B54" s="620" t="s">
        <v>1110</v>
      </c>
      <c r="C54" s="470" t="s">
        <v>689</v>
      </c>
      <c r="D54" s="630">
        <v>115</v>
      </c>
      <c r="E54" s="119">
        <v>59</v>
      </c>
      <c r="F54" s="606">
        <v>330</v>
      </c>
      <c r="G54" s="609">
        <v>125</v>
      </c>
      <c r="H54" s="470"/>
      <c r="I54" s="470"/>
    </row>
    <row r="55" spans="1:9" ht="15.75" customHeight="1">
      <c r="A55" s="586" t="s">
        <v>127</v>
      </c>
      <c r="B55" s="620" t="s">
        <v>1111</v>
      </c>
      <c r="C55" s="470" t="s">
        <v>690</v>
      </c>
      <c r="D55" s="630">
        <v>5</v>
      </c>
      <c r="E55" s="119">
        <v>4</v>
      </c>
      <c r="F55" s="606">
        <v>5</v>
      </c>
      <c r="G55" s="608">
        <v>4</v>
      </c>
      <c r="H55" s="470"/>
      <c r="I55" s="470"/>
    </row>
    <row r="56" spans="1:9" ht="15.75" customHeight="1">
      <c r="A56" s="586" t="s">
        <v>127</v>
      </c>
      <c r="B56" s="620" t="s">
        <v>1112</v>
      </c>
      <c r="C56" s="470" t="s">
        <v>691</v>
      </c>
      <c r="D56" s="630">
        <v>7</v>
      </c>
      <c r="E56" s="119">
        <v>1</v>
      </c>
      <c r="F56" s="606">
        <v>2</v>
      </c>
      <c r="G56" s="608">
        <v>0</v>
      </c>
      <c r="H56" s="470"/>
      <c r="I56" s="470"/>
    </row>
    <row r="57" spans="1:9" ht="15.75" customHeight="1">
      <c r="A57" s="586" t="s">
        <v>127</v>
      </c>
      <c r="B57" s="620" t="s">
        <v>493</v>
      </c>
      <c r="C57" s="470" t="s">
        <v>692</v>
      </c>
      <c r="D57" s="630">
        <v>0</v>
      </c>
      <c r="E57" s="119">
        <v>0</v>
      </c>
      <c r="F57" s="606">
        <v>7</v>
      </c>
      <c r="G57" s="608">
        <v>1</v>
      </c>
      <c r="H57" s="470"/>
      <c r="I57" s="470"/>
    </row>
    <row r="58" spans="1:9" ht="15.75" customHeight="1">
      <c r="A58" s="586" t="s">
        <v>127</v>
      </c>
      <c r="B58" s="620" t="s">
        <v>1104</v>
      </c>
      <c r="C58" s="470" t="s">
        <v>693</v>
      </c>
      <c r="D58" s="630">
        <v>11</v>
      </c>
      <c r="E58" s="119">
        <v>3</v>
      </c>
      <c r="F58" s="606">
        <v>11</v>
      </c>
      <c r="G58" s="608">
        <v>3</v>
      </c>
      <c r="H58" s="470"/>
      <c r="I58" s="470"/>
    </row>
    <row r="59" spans="1:9" ht="15.75" customHeight="1">
      <c r="A59" s="586" t="s">
        <v>127</v>
      </c>
      <c r="B59" s="620" t="s">
        <v>1113</v>
      </c>
      <c r="C59" s="470" t="s">
        <v>694</v>
      </c>
      <c r="D59" s="630">
        <v>131</v>
      </c>
      <c r="E59" s="119">
        <v>73</v>
      </c>
      <c r="F59" s="606">
        <v>131</v>
      </c>
      <c r="G59" s="608">
        <v>79</v>
      </c>
      <c r="H59" s="470"/>
      <c r="I59" s="470"/>
    </row>
    <row r="60" spans="1:9" ht="15.75" customHeight="1">
      <c r="A60" s="586" t="s">
        <v>127</v>
      </c>
      <c r="B60" s="620" t="s">
        <v>1114</v>
      </c>
      <c r="C60" s="470" t="s">
        <v>695</v>
      </c>
      <c r="D60" s="630">
        <v>7</v>
      </c>
      <c r="E60" s="119">
        <v>8</v>
      </c>
      <c r="F60" s="606">
        <v>8</v>
      </c>
      <c r="G60" s="608">
        <v>10</v>
      </c>
      <c r="H60" s="470"/>
      <c r="I60" s="470"/>
    </row>
    <row r="61" spans="1:9" ht="15.75" customHeight="1">
      <c r="A61" s="586" t="s">
        <v>127</v>
      </c>
      <c r="B61" s="620" t="s">
        <v>460</v>
      </c>
      <c r="C61" s="470" t="s">
        <v>696</v>
      </c>
      <c r="D61" s="630">
        <v>3</v>
      </c>
      <c r="E61" s="119">
        <v>1</v>
      </c>
      <c r="F61" s="606">
        <v>4</v>
      </c>
      <c r="G61" s="608">
        <v>1</v>
      </c>
      <c r="H61" s="470"/>
      <c r="I61" s="470"/>
    </row>
    <row r="62" spans="1:9" ht="15.75" customHeight="1">
      <c r="A62" s="586" t="s">
        <v>127</v>
      </c>
      <c r="B62" s="620" t="s">
        <v>1110</v>
      </c>
      <c r="C62" s="470" t="s">
        <v>697</v>
      </c>
      <c r="D62" s="630">
        <v>10</v>
      </c>
      <c r="E62" s="119">
        <v>16</v>
      </c>
      <c r="F62" s="606">
        <v>11</v>
      </c>
      <c r="G62" s="608">
        <v>20</v>
      </c>
      <c r="H62" s="470"/>
      <c r="I62" s="470"/>
    </row>
    <row r="63" spans="1:9" ht="15.75" customHeight="1">
      <c r="A63" s="586" t="s">
        <v>127</v>
      </c>
      <c r="B63" s="620" t="s">
        <v>1115</v>
      </c>
      <c r="C63" s="470" t="s">
        <v>698</v>
      </c>
      <c r="D63" s="630">
        <v>5</v>
      </c>
      <c r="E63" s="119">
        <v>1</v>
      </c>
      <c r="F63" s="606">
        <v>6</v>
      </c>
      <c r="G63" s="608">
        <v>1</v>
      </c>
      <c r="H63" s="470"/>
      <c r="I63" s="470"/>
    </row>
    <row r="64" spans="1:9" ht="15.75" customHeight="1">
      <c r="A64" s="586" t="s">
        <v>127</v>
      </c>
      <c r="B64" s="620" t="s">
        <v>1116</v>
      </c>
      <c r="C64" s="470" t="s">
        <v>699</v>
      </c>
      <c r="D64" s="630">
        <v>0</v>
      </c>
      <c r="E64" s="119">
        <v>0</v>
      </c>
      <c r="F64" s="606">
        <v>0</v>
      </c>
      <c r="G64" s="608">
        <v>0</v>
      </c>
      <c r="H64" s="470"/>
      <c r="I64" s="470"/>
    </row>
    <row r="65" spans="1:9" ht="15.75" customHeight="1">
      <c r="A65" s="586" t="s">
        <v>127</v>
      </c>
      <c r="B65" s="620" t="s">
        <v>1117</v>
      </c>
      <c r="C65" s="470" t="s">
        <v>700</v>
      </c>
      <c r="D65" s="630">
        <v>5</v>
      </c>
      <c r="E65" s="119">
        <v>8</v>
      </c>
      <c r="F65" s="606">
        <v>8</v>
      </c>
      <c r="G65" s="608">
        <v>13</v>
      </c>
      <c r="H65" s="470"/>
      <c r="I65" s="470"/>
    </row>
    <row r="66" spans="1:9" ht="15.75" customHeight="1">
      <c r="A66" s="586" t="s">
        <v>127</v>
      </c>
      <c r="B66" s="620" t="s">
        <v>1118</v>
      </c>
      <c r="C66" s="470" t="s">
        <v>701</v>
      </c>
      <c r="D66" s="630">
        <v>2</v>
      </c>
      <c r="E66" s="119">
        <v>0</v>
      </c>
      <c r="F66" s="606">
        <v>2</v>
      </c>
      <c r="G66" s="608">
        <v>0</v>
      </c>
      <c r="H66" s="470"/>
      <c r="I66" s="470"/>
    </row>
    <row r="67" spans="1:9" ht="15.75" customHeight="1">
      <c r="A67" s="586" t="s">
        <v>127</v>
      </c>
      <c r="B67" s="620" t="s">
        <v>1110</v>
      </c>
      <c r="C67" s="470" t="s">
        <v>702</v>
      </c>
      <c r="D67" s="630">
        <v>0</v>
      </c>
      <c r="E67" s="119">
        <v>0</v>
      </c>
      <c r="F67" s="606">
        <v>1</v>
      </c>
      <c r="G67" s="608">
        <v>0</v>
      </c>
      <c r="H67" s="470"/>
      <c r="I67" s="470"/>
    </row>
    <row r="68" spans="1:9" ht="15.75" customHeight="1">
      <c r="A68" s="586" t="s">
        <v>127</v>
      </c>
      <c r="B68" s="620" t="s">
        <v>461</v>
      </c>
      <c r="C68" s="470" t="s">
        <v>703</v>
      </c>
      <c r="D68" s="630">
        <v>16</v>
      </c>
      <c r="E68" s="119">
        <v>12</v>
      </c>
      <c r="F68" s="606">
        <v>0</v>
      </c>
      <c r="G68" s="608">
        <v>0</v>
      </c>
      <c r="H68" s="470"/>
      <c r="I68" s="470"/>
    </row>
    <row r="69" spans="1:9" ht="15.75" customHeight="1">
      <c r="A69" s="586" t="s">
        <v>127</v>
      </c>
      <c r="B69" s="620" t="s">
        <v>1119</v>
      </c>
      <c r="C69" s="470" t="s">
        <v>704</v>
      </c>
      <c r="D69" s="630">
        <v>2</v>
      </c>
      <c r="E69" s="119">
        <v>1</v>
      </c>
      <c r="F69" s="606">
        <v>2</v>
      </c>
      <c r="G69" s="608">
        <v>1</v>
      </c>
      <c r="H69" s="470"/>
      <c r="I69" s="470"/>
    </row>
    <row r="70" spans="1:9" ht="15.75" customHeight="1">
      <c r="A70" s="586" t="s">
        <v>127</v>
      </c>
      <c r="B70" s="620" t="s">
        <v>1120</v>
      </c>
      <c r="C70" s="470" t="s">
        <v>705</v>
      </c>
      <c r="D70" s="630">
        <v>0</v>
      </c>
      <c r="E70" s="119">
        <v>0</v>
      </c>
      <c r="F70" s="606">
        <v>1</v>
      </c>
      <c r="G70" s="608">
        <v>0</v>
      </c>
      <c r="H70" s="470"/>
      <c r="I70" s="470"/>
    </row>
    <row r="71" spans="1:9" ht="15.75" customHeight="1">
      <c r="A71" s="586" t="s">
        <v>127</v>
      </c>
      <c r="B71" s="620" t="s">
        <v>1117</v>
      </c>
      <c r="C71" s="470" t="s">
        <v>706</v>
      </c>
      <c r="D71" s="630">
        <v>8</v>
      </c>
      <c r="E71" s="119">
        <v>15</v>
      </c>
      <c r="F71" s="606">
        <v>5</v>
      </c>
      <c r="G71" s="608">
        <v>9</v>
      </c>
      <c r="H71" s="470"/>
      <c r="I71" s="470"/>
    </row>
    <row r="72" spans="1:9" ht="15.75" customHeight="1">
      <c r="A72" s="586" t="s">
        <v>127</v>
      </c>
      <c r="B72" s="620" t="s">
        <v>1107</v>
      </c>
      <c r="C72" s="470" t="s">
        <v>707</v>
      </c>
      <c r="D72" s="630">
        <v>0</v>
      </c>
      <c r="E72" s="119">
        <v>0</v>
      </c>
      <c r="F72" s="606">
        <v>0</v>
      </c>
      <c r="G72" s="608">
        <v>0</v>
      </c>
      <c r="H72" s="470"/>
      <c r="I72" s="470"/>
    </row>
    <row r="73" spans="1:9" ht="15.75" customHeight="1">
      <c r="A73" s="586" t="s">
        <v>127</v>
      </c>
      <c r="B73" s="620" t="s">
        <v>1121</v>
      </c>
      <c r="C73" s="470" t="s">
        <v>708</v>
      </c>
      <c r="D73" s="630">
        <v>1</v>
      </c>
      <c r="E73" s="119">
        <v>1</v>
      </c>
      <c r="F73" s="606">
        <v>2</v>
      </c>
      <c r="G73" s="608">
        <v>0</v>
      </c>
      <c r="H73" s="470"/>
      <c r="I73" s="470"/>
    </row>
    <row r="74" spans="1:9" ht="15.75" customHeight="1">
      <c r="A74" s="586" t="s">
        <v>127</v>
      </c>
      <c r="B74" s="620" t="s">
        <v>460</v>
      </c>
      <c r="C74" s="470" t="s">
        <v>709</v>
      </c>
      <c r="D74" s="630">
        <v>14</v>
      </c>
      <c r="E74" s="119">
        <v>6</v>
      </c>
      <c r="F74" s="606">
        <v>12</v>
      </c>
      <c r="G74" s="608">
        <v>6</v>
      </c>
      <c r="H74" s="470"/>
      <c r="I74" s="470"/>
    </row>
    <row r="75" spans="1:9" ht="15.75" customHeight="1">
      <c r="A75" s="586" t="s">
        <v>127</v>
      </c>
      <c r="B75" s="620" t="s">
        <v>1122</v>
      </c>
      <c r="C75" s="470" t="s">
        <v>710</v>
      </c>
      <c r="D75" s="630">
        <v>6</v>
      </c>
      <c r="E75" s="119">
        <v>7</v>
      </c>
      <c r="F75" s="606">
        <v>8</v>
      </c>
      <c r="G75" s="608">
        <v>9</v>
      </c>
      <c r="H75" s="470"/>
      <c r="I75" s="470"/>
    </row>
    <row r="76" spans="1:9" ht="15.75" customHeight="1">
      <c r="A76" s="586" t="s">
        <v>127</v>
      </c>
      <c r="B76" s="620" t="s">
        <v>1123</v>
      </c>
      <c r="C76" s="470" t="s">
        <v>711</v>
      </c>
      <c r="D76" s="630">
        <v>0</v>
      </c>
      <c r="E76" s="119">
        <v>0</v>
      </c>
      <c r="F76" s="606">
        <v>10</v>
      </c>
      <c r="G76" s="608">
        <v>4</v>
      </c>
      <c r="H76" s="470"/>
      <c r="I76" s="470"/>
    </row>
    <row r="77" spans="1:9" ht="15.75" customHeight="1">
      <c r="A77" s="586" t="s">
        <v>127</v>
      </c>
      <c r="B77" s="620" t="s">
        <v>1124</v>
      </c>
      <c r="C77" s="470" t="s">
        <v>712</v>
      </c>
      <c r="D77" s="630">
        <v>20</v>
      </c>
      <c r="E77" s="119">
        <v>24</v>
      </c>
      <c r="F77" s="606">
        <v>110</v>
      </c>
      <c r="G77" s="608">
        <v>23</v>
      </c>
      <c r="H77" s="470"/>
      <c r="I77" s="470"/>
    </row>
    <row r="78" spans="1:9" ht="15.75" customHeight="1">
      <c r="A78" s="586" t="s">
        <v>127</v>
      </c>
      <c r="B78" s="620" t="s">
        <v>1125</v>
      </c>
      <c r="C78" s="470" t="s">
        <v>713</v>
      </c>
      <c r="D78" s="630">
        <v>1</v>
      </c>
      <c r="E78" s="119">
        <v>0</v>
      </c>
      <c r="F78" s="606">
        <v>1</v>
      </c>
      <c r="G78" s="608">
        <v>0</v>
      </c>
      <c r="H78" s="470"/>
      <c r="I78" s="470"/>
    </row>
    <row r="79" spans="1:9" ht="15.75" customHeight="1">
      <c r="A79" s="586" t="s">
        <v>127</v>
      </c>
      <c r="B79" s="620" t="s">
        <v>1126</v>
      </c>
      <c r="C79" s="470" t="s">
        <v>714</v>
      </c>
      <c r="D79" s="630">
        <v>0</v>
      </c>
      <c r="E79" s="119">
        <v>0</v>
      </c>
      <c r="F79" s="606">
        <v>1</v>
      </c>
      <c r="G79" s="608">
        <v>1</v>
      </c>
      <c r="H79" s="470"/>
      <c r="I79" s="470"/>
    </row>
    <row r="80" spans="1:9" ht="15.75" customHeight="1">
      <c r="A80" s="586" t="s">
        <v>127</v>
      </c>
      <c r="B80" s="620" t="s">
        <v>1127</v>
      </c>
      <c r="C80" s="470" t="s">
        <v>715</v>
      </c>
      <c r="D80" s="630">
        <v>3</v>
      </c>
      <c r="E80" s="119">
        <v>2</v>
      </c>
      <c r="F80" s="606">
        <v>3</v>
      </c>
      <c r="G80" s="608">
        <v>1</v>
      </c>
      <c r="H80" s="470"/>
      <c r="I80" s="470"/>
    </row>
    <row r="81" spans="1:9" ht="15.75" customHeight="1">
      <c r="A81" s="586" t="s">
        <v>127</v>
      </c>
      <c r="B81" s="620" t="s">
        <v>1128</v>
      </c>
      <c r="C81" s="470" t="s">
        <v>716</v>
      </c>
      <c r="D81" s="630">
        <v>4</v>
      </c>
      <c r="E81" s="119">
        <v>3</v>
      </c>
      <c r="F81" s="606">
        <v>3</v>
      </c>
      <c r="G81" s="608">
        <v>2</v>
      </c>
      <c r="H81" s="470"/>
      <c r="I81" s="470"/>
    </row>
    <row r="82" spans="1:9" ht="15.75" customHeight="1">
      <c r="A82" s="586" t="s">
        <v>127</v>
      </c>
      <c r="B82" s="620" t="s">
        <v>1129</v>
      </c>
      <c r="C82" s="470" t="s">
        <v>717</v>
      </c>
      <c r="D82" s="630">
        <v>0</v>
      </c>
      <c r="E82" s="119">
        <v>0</v>
      </c>
      <c r="F82" s="606">
        <v>1</v>
      </c>
      <c r="G82" s="608">
        <v>0</v>
      </c>
      <c r="H82" s="470"/>
      <c r="I82" s="470"/>
    </row>
    <row r="83" spans="1:9" ht="15.75" customHeight="1">
      <c r="A83" s="586" t="s">
        <v>127</v>
      </c>
      <c r="B83" s="620" t="s">
        <v>460</v>
      </c>
      <c r="C83" s="470" t="s">
        <v>718</v>
      </c>
      <c r="D83" s="630">
        <v>21</v>
      </c>
      <c r="E83" s="119">
        <v>15</v>
      </c>
      <c r="F83" s="606">
        <v>33</v>
      </c>
      <c r="G83" s="608">
        <v>15</v>
      </c>
      <c r="H83" s="470"/>
      <c r="I83" s="470"/>
    </row>
    <row r="84" spans="1:9" ht="15.75" customHeight="1">
      <c r="A84" s="586" t="s">
        <v>127</v>
      </c>
      <c r="B84" s="620" t="s">
        <v>1130</v>
      </c>
      <c r="C84" s="470" t="s">
        <v>719</v>
      </c>
      <c r="D84" s="630">
        <v>10</v>
      </c>
      <c r="E84" s="119">
        <v>8</v>
      </c>
      <c r="F84" s="606">
        <v>11</v>
      </c>
      <c r="G84" s="608">
        <v>7</v>
      </c>
      <c r="H84" s="470"/>
      <c r="I84" s="470"/>
    </row>
    <row r="85" spans="1:9" ht="15.75" customHeight="1">
      <c r="A85" s="586" t="s">
        <v>127</v>
      </c>
      <c r="B85" s="620" t="s">
        <v>1131</v>
      </c>
      <c r="C85" s="470" t="s">
        <v>720</v>
      </c>
      <c r="D85" s="630">
        <v>0</v>
      </c>
      <c r="E85" s="119">
        <v>0</v>
      </c>
      <c r="F85" s="606">
        <v>1</v>
      </c>
      <c r="G85" s="608">
        <v>0</v>
      </c>
      <c r="H85" s="470"/>
      <c r="I85" s="470"/>
    </row>
    <row r="86" spans="1:9" ht="15.75" customHeight="1">
      <c r="A86" s="586" t="s">
        <v>127</v>
      </c>
      <c r="B86" s="620" t="s">
        <v>1132</v>
      </c>
      <c r="C86" s="470" t="s">
        <v>721</v>
      </c>
      <c r="D86" s="630">
        <v>0</v>
      </c>
      <c r="E86" s="119">
        <v>0</v>
      </c>
      <c r="F86" s="606">
        <v>0</v>
      </c>
      <c r="G86" s="608">
        <v>0</v>
      </c>
      <c r="H86" s="470"/>
      <c r="I86" s="470"/>
    </row>
    <row r="87" spans="1:9" ht="15.75" customHeight="1">
      <c r="A87" s="586" t="s">
        <v>127</v>
      </c>
      <c r="B87" s="620" t="s">
        <v>1133</v>
      </c>
      <c r="C87" s="470" t="s">
        <v>722</v>
      </c>
      <c r="D87" s="630">
        <v>0</v>
      </c>
      <c r="E87" s="119">
        <v>0</v>
      </c>
      <c r="F87" s="606">
        <v>1</v>
      </c>
      <c r="G87" s="608">
        <v>0</v>
      </c>
      <c r="H87" s="470"/>
      <c r="I87" s="470"/>
    </row>
    <row r="88" spans="1:9" ht="15.75" customHeight="1">
      <c r="A88" s="586" t="s">
        <v>127</v>
      </c>
      <c r="B88" s="620" t="s">
        <v>1134</v>
      </c>
      <c r="C88" s="470" t="s">
        <v>723</v>
      </c>
      <c r="D88" s="630">
        <v>4</v>
      </c>
      <c r="E88" s="119">
        <v>5</v>
      </c>
      <c r="F88" s="606">
        <v>5</v>
      </c>
      <c r="G88" s="608">
        <v>6</v>
      </c>
      <c r="H88" s="470"/>
      <c r="I88" s="470"/>
    </row>
    <row r="89" spans="1:9" ht="15.75" customHeight="1">
      <c r="A89" s="586" t="s">
        <v>127</v>
      </c>
      <c r="B89" s="620" t="s">
        <v>1135</v>
      </c>
      <c r="C89" s="470" t="s">
        <v>724</v>
      </c>
      <c r="D89" s="630">
        <v>1</v>
      </c>
      <c r="E89" s="119">
        <v>1</v>
      </c>
      <c r="F89" s="606">
        <v>1</v>
      </c>
      <c r="G89" s="608">
        <v>0</v>
      </c>
      <c r="H89" s="470"/>
      <c r="I89" s="470"/>
    </row>
    <row r="90" spans="1:9" ht="15.75" customHeight="1">
      <c r="A90" s="586" t="s">
        <v>127</v>
      </c>
      <c r="B90" s="620" t="s">
        <v>1136</v>
      </c>
      <c r="C90" s="470" t="s">
        <v>725</v>
      </c>
      <c r="D90" s="630">
        <v>10</v>
      </c>
      <c r="E90" s="119">
        <v>3</v>
      </c>
      <c r="F90" s="606">
        <v>8</v>
      </c>
      <c r="G90" s="608">
        <v>3</v>
      </c>
      <c r="H90" s="470"/>
      <c r="I90" s="470"/>
    </row>
    <row r="91" spans="1:9" ht="15.75" customHeight="1">
      <c r="A91" s="586" t="s">
        <v>127</v>
      </c>
      <c r="B91" s="620" t="s">
        <v>1110</v>
      </c>
      <c r="C91" s="470" t="s">
        <v>726</v>
      </c>
      <c r="D91" s="630">
        <v>3</v>
      </c>
      <c r="E91" s="119">
        <v>2</v>
      </c>
      <c r="F91" s="606">
        <v>4</v>
      </c>
      <c r="G91" s="608">
        <v>4</v>
      </c>
      <c r="H91" s="470"/>
      <c r="I91" s="470"/>
    </row>
    <row r="92" spans="1:9" ht="15.75" customHeight="1">
      <c r="A92" s="586" t="s">
        <v>127</v>
      </c>
      <c r="B92" s="620" t="s">
        <v>1113</v>
      </c>
      <c r="C92" s="470" t="s">
        <v>727</v>
      </c>
      <c r="D92" s="630">
        <v>0</v>
      </c>
      <c r="E92" s="119">
        <v>0</v>
      </c>
      <c r="F92" s="606">
        <v>0</v>
      </c>
      <c r="G92" s="608">
        <v>0</v>
      </c>
      <c r="H92" s="470"/>
      <c r="I92" s="470"/>
    </row>
    <row r="93" spans="1:9" ht="15.75" customHeight="1">
      <c r="A93" s="586" t="s">
        <v>127</v>
      </c>
      <c r="B93" s="620" t="s">
        <v>1323</v>
      </c>
      <c r="C93" s="470" t="s">
        <v>728</v>
      </c>
      <c r="D93" s="630">
        <v>0</v>
      </c>
      <c r="E93" s="119">
        <v>0</v>
      </c>
      <c r="F93" s="606">
        <v>5</v>
      </c>
      <c r="G93" s="608">
        <v>7</v>
      </c>
      <c r="H93" s="470"/>
      <c r="I93" s="470"/>
    </row>
    <row r="94" spans="1:9" ht="15.75" customHeight="1">
      <c r="A94" s="586" t="s">
        <v>127</v>
      </c>
      <c r="B94" s="620" t="s">
        <v>1110</v>
      </c>
      <c r="C94" s="470" t="s">
        <v>729</v>
      </c>
      <c r="D94" s="630">
        <v>0</v>
      </c>
      <c r="E94" s="119">
        <v>0</v>
      </c>
      <c r="F94" s="606">
        <v>3</v>
      </c>
      <c r="G94" s="608">
        <v>4</v>
      </c>
      <c r="H94" s="470"/>
      <c r="I94" s="470"/>
    </row>
    <row r="95" spans="1:9" ht="15.75" customHeight="1">
      <c r="A95" s="586" t="s">
        <v>127</v>
      </c>
      <c r="B95" s="620" t="s">
        <v>1137</v>
      </c>
      <c r="C95" s="470" t="s">
        <v>730</v>
      </c>
      <c r="D95" s="630">
        <v>5</v>
      </c>
      <c r="E95" s="119">
        <v>6</v>
      </c>
      <c r="F95" s="606">
        <v>5</v>
      </c>
      <c r="G95" s="608">
        <v>5</v>
      </c>
      <c r="H95" s="470"/>
      <c r="I95" s="470"/>
    </row>
    <row r="96" spans="1:9" ht="15.75" customHeight="1">
      <c r="A96" s="586" t="s">
        <v>127</v>
      </c>
      <c r="B96" s="620" t="s">
        <v>1138</v>
      </c>
      <c r="C96" s="470" t="s">
        <v>731</v>
      </c>
      <c r="D96" s="630">
        <v>1</v>
      </c>
      <c r="E96" s="119">
        <v>0</v>
      </c>
      <c r="F96" s="606">
        <v>2</v>
      </c>
      <c r="G96" s="608">
        <v>1</v>
      </c>
      <c r="H96" s="470"/>
      <c r="I96" s="470"/>
    </row>
    <row r="97" spans="1:9" ht="15.75" customHeight="1">
      <c r="A97" s="586" t="s">
        <v>127</v>
      </c>
      <c r="B97" s="620" t="s">
        <v>1139</v>
      </c>
      <c r="C97" s="470" t="s">
        <v>732</v>
      </c>
      <c r="D97" s="630">
        <v>1</v>
      </c>
      <c r="E97" s="119">
        <v>1</v>
      </c>
      <c r="F97" s="606">
        <v>1</v>
      </c>
      <c r="G97" s="608">
        <v>1</v>
      </c>
      <c r="H97" s="470"/>
      <c r="I97" s="470"/>
    </row>
    <row r="98" spans="1:9" ht="15.75" customHeight="1">
      <c r="A98" s="586" t="s">
        <v>127</v>
      </c>
      <c r="B98" s="620" t="s">
        <v>1140</v>
      </c>
      <c r="C98" s="470" t="s">
        <v>733</v>
      </c>
      <c r="D98" s="630">
        <v>1</v>
      </c>
      <c r="E98" s="119">
        <v>0</v>
      </c>
      <c r="F98" s="606">
        <v>1</v>
      </c>
      <c r="G98" s="608">
        <v>0</v>
      </c>
      <c r="H98" s="470"/>
      <c r="I98" s="470"/>
    </row>
    <row r="99" spans="1:9" ht="15.75" customHeight="1">
      <c r="A99" s="586" t="s">
        <v>127</v>
      </c>
      <c r="B99" s="620" t="s">
        <v>1141</v>
      </c>
      <c r="C99" s="470" t="s">
        <v>734</v>
      </c>
      <c r="D99" s="630">
        <v>0</v>
      </c>
      <c r="E99" s="119">
        <v>0</v>
      </c>
      <c r="F99" s="606">
        <v>0</v>
      </c>
      <c r="G99" s="608">
        <v>0</v>
      </c>
      <c r="H99" s="470"/>
      <c r="I99" s="470"/>
    </row>
    <row r="100" spans="1:9" ht="15.75" customHeight="1">
      <c r="A100" s="586" t="s">
        <v>127</v>
      </c>
      <c r="B100" s="620" t="s">
        <v>1142</v>
      </c>
      <c r="C100" s="470" t="s">
        <v>735</v>
      </c>
      <c r="D100" s="630">
        <v>8</v>
      </c>
      <c r="E100" s="119">
        <v>7</v>
      </c>
      <c r="F100" s="606">
        <v>8</v>
      </c>
      <c r="G100" s="608">
        <v>6</v>
      </c>
      <c r="H100" s="470"/>
      <c r="I100" s="470"/>
    </row>
    <row r="101" spans="1:9" ht="15.75" customHeight="1">
      <c r="A101" s="586" t="s">
        <v>127</v>
      </c>
      <c r="B101" s="620" t="s">
        <v>1142</v>
      </c>
      <c r="C101" s="470" t="s">
        <v>736</v>
      </c>
      <c r="D101" s="630">
        <v>15</v>
      </c>
      <c r="E101" s="119">
        <v>10</v>
      </c>
      <c r="F101" s="606">
        <v>11</v>
      </c>
      <c r="G101" s="608">
        <v>8</v>
      </c>
      <c r="H101" s="470"/>
      <c r="I101" s="470"/>
    </row>
    <row r="102" spans="1:9" ht="15.75" customHeight="1">
      <c r="A102" s="586" t="s">
        <v>127</v>
      </c>
      <c r="B102" s="620" t="s">
        <v>1143</v>
      </c>
      <c r="C102" s="470" t="s">
        <v>737</v>
      </c>
      <c r="D102" s="630">
        <v>2</v>
      </c>
      <c r="E102" s="119">
        <v>1</v>
      </c>
      <c r="F102" s="606">
        <v>3</v>
      </c>
      <c r="G102" s="608">
        <v>1</v>
      </c>
      <c r="H102" s="470"/>
      <c r="I102" s="470"/>
    </row>
    <row r="103" spans="1:9" ht="15.75" customHeight="1">
      <c r="A103" s="586" t="s">
        <v>127</v>
      </c>
      <c r="B103" s="620" t="s">
        <v>1144</v>
      </c>
      <c r="C103" s="470" t="s">
        <v>738</v>
      </c>
      <c r="D103" s="630">
        <v>0</v>
      </c>
      <c r="E103" s="119">
        <v>0</v>
      </c>
      <c r="F103" s="606">
        <v>0</v>
      </c>
      <c r="G103" s="608">
        <v>0</v>
      </c>
      <c r="H103" s="470"/>
      <c r="I103" s="470"/>
    </row>
    <row r="104" spans="1:9" ht="15.75" customHeight="1">
      <c r="A104" s="586" t="s">
        <v>127</v>
      </c>
      <c r="B104" s="620" t="s">
        <v>1145</v>
      </c>
      <c r="C104" s="470" t="s">
        <v>739</v>
      </c>
      <c r="D104" s="630">
        <v>0</v>
      </c>
      <c r="E104" s="119">
        <v>0</v>
      </c>
      <c r="F104" s="606">
        <v>0</v>
      </c>
      <c r="G104" s="608">
        <v>0</v>
      </c>
      <c r="H104" s="470"/>
      <c r="I104" s="470"/>
    </row>
    <row r="105" spans="1:9" ht="15.75" customHeight="1">
      <c r="A105" s="586" t="s">
        <v>127</v>
      </c>
      <c r="B105" s="620" t="s">
        <v>1146</v>
      </c>
      <c r="C105" s="470" t="s">
        <v>740</v>
      </c>
      <c r="D105" s="630">
        <v>4</v>
      </c>
      <c r="E105" s="119">
        <v>4</v>
      </c>
      <c r="F105" s="606">
        <v>4</v>
      </c>
      <c r="G105" s="608">
        <v>4</v>
      </c>
      <c r="H105" s="470"/>
      <c r="I105" s="470"/>
    </row>
    <row r="106" spans="1:9" ht="15.75" customHeight="1">
      <c r="A106" s="586" t="s">
        <v>127</v>
      </c>
      <c r="B106" s="620" t="s">
        <v>1147</v>
      </c>
      <c r="C106" s="470" t="s">
        <v>741</v>
      </c>
      <c r="D106" s="630">
        <v>1</v>
      </c>
      <c r="E106" s="119">
        <v>0</v>
      </c>
      <c r="F106" s="606">
        <v>1</v>
      </c>
      <c r="G106" s="608">
        <v>1</v>
      </c>
      <c r="H106" s="470"/>
      <c r="I106" s="470"/>
    </row>
    <row r="107" spans="1:9" ht="15.75" customHeight="1">
      <c r="A107" s="586" t="s">
        <v>127</v>
      </c>
      <c r="B107" s="620" t="s">
        <v>1148</v>
      </c>
      <c r="C107" s="470" t="s">
        <v>742</v>
      </c>
      <c r="D107" s="630">
        <v>0</v>
      </c>
      <c r="E107" s="119">
        <v>0</v>
      </c>
      <c r="F107" s="606">
        <v>1</v>
      </c>
      <c r="G107" s="608">
        <v>0</v>
      </c>
      <c r="H107" s="470"/>
      <c r="I107" s="470"/>
    </row>
    <row r="108" spans="1:9" ht="15.75" customHeight="1">
      <c r="A108" s="586" t="s">
        <v>127</v>
      </c>
      <c r="B108" s="620" t="s">
        <v>1149</v>
      </c>
      <c r="C108" s="470" t="s">
        <v>743</v>
      </c>
      <c r="D108" s="630">
        <v>4</v>
      </c>
      <c r="E108" s="119">
        <v>2</v>
      </c>
      <c r="F108" s="606">
        <v>4</v>
      </c>
      <c r="G108" s="608">
        <v>2</v>
      </c>
      <c r="H108" s="470"/>
      <c r="I108" s="470"/>
    </row>
    <row r="109" spans="1:9" ht="15.75" customHeight="1">
      <c r="A109" s="586" t="s">
        <v>127</v>
      </c>
      <c r="B109" s="620" t="s">
        <v>1150</v>
      </c>
      <c r="C109" s="470" t="s">
        <v>744</v>
      </c>
      <c r="D109" s="630">
        <v>14</v>
      </c>
      <c r="E109" s="119">
        <v>0</v>
      </c>
      <c r="F109" s="606">
        <v>9</v>
      </c>
      <c r="G109" s="608">
        <v>0</v>
      </c>
      <c r="H109" s="470"/>
      <c r="I109" s="470"/>
    </row>
    <row r="110" spans="1:9" ht="15.75" customHeight="1">
      <c r="A110" s="586" t="s">
        <v>127</v>
      </c>
      <c r="B110" s="620" t="s">
        <v>1151</v>
      </c>
      <c r="C110" s="470" t="s">
        <v>745</v>
      </c>
      <c r="D110" s="630">
        <v>2</v>
      </c>
      <c r="E110" s="119">
        <v>2</v>
      </c>
      <c r="F110" s="606">
        <v>2</v>
      </c>
      <c r="G110" s="608">
        <v>1</v>
      </c>
      <c r="H110" s="470"/>
      <c r="I110" s="470"/>
    </row>
    <row r="111" spans="1:9" ht="15.75" customHeight="1">
      <c r="A111" s="586" t="s">
        <v>127</v>
      </c>
      <c r="B111" s="620" t="s">
        <v>1152</v>
      </c>
      <c r="C111" s="470" t="s">
        <v>746</v>
      </c>
      <c r="D111" s="630">
        <v>6</v>
      </c>
      <c r="E111" s="119">
        <v>4</v>
      </c>
      <c r="F111" s="606">
        <v>5</v>
      </c>
      <c r="G111" s="608">
        <v>4</v>
      </c>
      <c r="H111" s="470"/>
      <c r="I111" s="470"/>
    </row>
    <row r="112" spans="1:9" ht="15.75" customHeight="1">
      <c r="A112" s="586" t="s">
        <v>127</v>
      </c>
      <c r="B112" s="620" t="s">
        <v>1308</v>
      </c>
      <c r="C112" s="470" t="s">
        <v>747</v>
      </c>
      <c r="D112" s="630">
        <v>4</v>
      </c>
      <c r="E112" s="119">
        <v>1</v>
      </c>
      <c r="F112" s="606">
        <v>5</v>
      </c>
      <c r="G112" s="608">
        <v>1</v>
      </c>
      <c r="H112" s="470"/>
      <c r="I112" s="470"/>
    </row>
    <row r="113" spans="1:9" ht="15.75" customHeight="1">
      <c r="A113" s="586" t="s">
        <v>127</v>
      </c>
      <c r="B113" s="620" t="s">
        <v>1153</v>
      </c>
      <c r="C113" s="470" t="s">
        <v>748</v>
      </c>
      <c r="D113" s="630">
        <v>0</v>
      </c>
      <c r="E113" s="119">
        <v>0</v>
      </c>
      <c r="F113" s="606">
        <v>0</v>
      </c>
      <c r="G113" s="608">
        <v>0</v>
      </c>
      <c r="H113" s="470"/>
      <c r="I113" s="470"/>
    </row>
    <row r="114" spans="1:9" ht="15.75" customHeight="1">
      <c r="A114" s="586" t="s">
        <v>127</v>
      </c>
      <c r="B114" s="620" t="s">
        <v>1154</v>
      </c>
      <c r="C114" s="470" t="s">
        <v>749</v>
      </c>
      <c r="D114" s="630">
        <v>0</v>
      </c>
      <c r="E114" s="119">
        <v>0</v>
      </c>
      <c r="F114" s="606">
        <v>3</v>
      </c>
      <c r="G114" s="608">
        <v>2</v>
      </c>
      <c r="H114" s="470"/>
      <c r="I114" s="470"/>
    </row>
    <row r="115" spans="1:9" ht="15.75" customHeight="1">
      <c r="A115" s="586" t="s">
        <v>127</v>
      </c>
      <c r="B115" s="620" t="s">
        <v>464</v>
      </c>
      <c r="C115" s="470" t="s">
        <v>750</v>
      </c>
      <c r="D115" s="630">
        <v>0</v>
      </c>
      <c r="E115" s="119">
        <v>0</v>
      </c>
      <c r="F115" s="606">
        <v>5</v>
      </c>
      <c r="G115" s="608">
        <v>1</v>
      </c>
      <c r="H115" s="470"/>
      <c r="I115" s="470"/>
    </row>
    <row r="116" spans="1:9" ht="15.75" customHeight="1">
      <c r="A116" s="586" t="s">
        <v>127</v>
      </c>
      <c r="B116" s="620" t="s">
        <v>1155</v>
      </c>
      <c r="C116" s="470" t="s">
        <v>751</v>
      </c>
      <c r="D116" s="630">
        <v>1</v>
      </c>
      <c r="E116" s="119">
        <v>0</v>
      </c>
      <c r="F116" s="606">
        <v>1</v>
      </c>
      <c r="G116" s="608">
        <v>0</v>
      </c>
      <c r="H116" s="470"/>
      <c r="I116" s="470"/>
    </row>
    <row r="117" spans="1:9" ht="15.75" customHeight="1">
      <c r="A117" s="586" t="s">
        <v>127</v>
      </c>
      <c r="B117" s="620" t="s">
        <v>1156</v>
      </c>
      <c r="C117" s="470" t="s">
        <v>752</v>
      </c>
      <c r="D117" s="630">
        <v>2</v>
      </c>
      <c r="E117" s="119">
        <v>2</v>
      </c>
      <c r="F117" s="606">
        <v>2</v>
      </c>
      <c r="G117" s="608">
        <v>1</v>
      </c>
      <c r="H117" s="470"/>
      <c r="I117" s="470"/>
    </row>
    <row r="118" spans="1:9" ht="15.75" customHeight="1">
      <c r="A118" s="586" t="s">
        <v>127</v>
      </c>
      <c r="B118" s="620" t="s">
        <v>1154</v>
      </c>
      <c r="C118" s="470" t="s">
        <v>753</v>
      </c>
      <c r="D118" s="630">
        <v>0</v>
      </c>
      <c r="E118" s="119">
        <v>0</v>
      </c>
      <c r="F118" s="606">
        <v>0</v>
      </c>
      <c r="G118" s="608">
        <v>0</v>
      </c>
      <c r="H118" s="470"/>
      <c r="I118" s="470"/>
    </row>
    <row r="119" spans="1:9" ht="15.75" customHeight="1">
      <c r="A119" s="586" t="s">
        <v>127</v>
      </c>
      <c r="B119" s="620" t="s">
        <v>1157</v>
      </c>
      <c r="C119" s="470" t="s">
        <v>754</v>
      </c>
      <c r="D119" s="630">
        <v>2</v>
      </c>
      <c r="E119" s="119">
        <v>0</v>
      </c>
      <c r="F119" s="606">
        <v>2</v>
      </c>
      <c r="G119" s="608">
        <v>0</v>
      </c>
      <c r="H119" s="470"/>
      <c r="I119" s="470"/>
    </row>
    <row r="120" spans="1:9" ht="15.75" customHeight="1">
      <c r="A120" s="586" t="s">
        <v>127</v>
      </c>
      <c r="B120" s="620" t="s">
        <v>1158</v>
      </c>
      <c r="C120" s="470" t="s">
        <v>755</v>
      </c>
      <c r="D120" s="630">
        <v>0</v>
      </c>
      <c r="E120" s="119">
        <v>0</v>
      </c>
      <c r="F120" s="606">
        <v>0</v>
      </c>
      <c r="G120" s="608">
        <v>0</v>
      </c>
      <c r="H120" s="138"/>
      <c r="I120" s="470"/>
    </row>
    <row r="121" spans="1:9" ht="15.75" customHeight="1">
      <c r="A121" s="586" t="s">
        <v>127</v>
      </c>
      <c r="B121" s="620" t="s">
        <v>1159</v>
      </c>
      <c r="C121" s="470" t="s">
        <v>756</v>
      </c>
      <c r="D121" s="630">
        <v>4</v>
      </c>
      <c r="E121" s="119">
        <v>4</v>
      </c>
      <c r="F121" s="606">
        <v>4</v>
      </c>
      <c r="G121" s="609">
        <v>4</v>
      </c>
      <c r="H121" s="470"/>
      <c r="I121" s="470"/>
    </row>
    <row r="122" spans="1:9" ht="15.75" customHeight="1">
      <c r="A122" s="586" t="s">
        <v>127</v>
      </c>
      <c r="B122" s="620" t="s">
        <v>1160</v>
      </c>
      <c r="C122" s="470" t="s">
        <v>757</v>
      </c>
      <c r="D122" s="630">
        <v>2</v>
      </c>
      <c r="E122" s="119">
        <v>0</v>
      </c>
      <c r="F122" s="606">
        <v>2</v>
      </c>
      <c r="G122" s="608">
        <v>0</v>
      </c>
      <c r="H122" s="470"/>
      <c r="I122" s="470"/>
    </row>
    <row r="123" spans="1:9" ht="15.75" customHeight="1">
      <c r="A123" s="586" t="s">
        <v>127</v>
      </c>
      <c r="B123" s="620" t="s">
        <v>463</v>
      </c>
      <c r="C123" s="470" t="s">
        <v>758</v>
      </c>
      <c r="D123" s="630">
        <v>44</v>
      </c>
      <c r="E123" s="119">
        <v>50</v>
      </c>
      <c r="F123" s="606">
        <v>77</v>
      </c>
      <c r="G123" s="608">
        <v>26</v>
      </c>
      <c r="H123" s="470"/>
      <c r="I123" s="470"/>
    </row>
    <row r="124" spans="1:9" ht="15.75" customHeight="1">
      <c r="A124" s="586" t="s">
        <v>127</v>
      </c>
      <c r="B124" s="620" t="s">
        <v>1145</v>
      </c>
      <c r="C124" s="470" t="s">
        <v>759</v>
      </c>
      <c r="D124" s="630">
        <v>2</v>
      </c>
      <c r="E124" s="119">
        <v>2</v>
      </c>
      <c r="F124" s="606">
        <v>0</v>
      </c>
      <c r="G124" s="608">
        <v>0</v>
      </c>
      <c r="H124" s="470"/>
      <c r="I124" s="470"/>
    </row>
    <row r="125" spans="1:9" ht="15.75" customHeight="1">
      <c r="A125" s="586" t="s">
        <v>127</v>
      </c>
      <c r="B125" s="620" t="s">
        <v>1161</v>
      </c>
      <c r="C125" s="470" t="s">
        <v>760</v>
      </c>
      <c r="D125" s="630">
        <v>4</v>
      </c>
      <c r="E125" s="119">
        <v>3</v>
      </c>
      <c r="F125" s="606">
        <v>0</v>
      </c>
      <c r="G125" s="608">
        <v>0</v>
      </c>
      <c r="H125" s="470"/>
      <c r="I125" s="470"/>
    </row>
    <row r="126" spans="1:9" ht="15.75" customHeight="1">
      <c r="A126" s="586" t="s">
        <v>127</v>
      </c>
      <c r="B126" s="620" t="s">
        <v>462</v>
      </c>
      <c r="C126" s="470" t="s">
        <v>761</v>
      </c>
      <c r="D126" s="630">
        <v>4</v>
      </c>
      <c r="E126" s="119">
        <v>5</v>
      </c>
      <c r="F126" s="606">
        <v>8</v>
      </c>
      <c r="G126" s="608">
        <v>9</v>
      </c>
      <c r="H126" s="470"/>
      <c r="I126" s="470"/>
    </row>
    <row r="127" spans="1:9" ht="15.75" customHeight="1">
      <c r="A127" s="586" t="s">
        <v>127</v>
      </c>
      <c r="B127" s="620" t="s">
        <v>1110</v>
      </c>
      <c r="C127" s="470" t="s">
        <v>762</v>
      </c>
      <c r="D127" s="630">
        <v>10</v>
      </c>
      <c r="E127" s="119">
        <v>3</v>
      </c>
      <c r="F127" s="606">
        <v>3</v>
      </c>
      <c r="G127" s="608">
        <v>2</v>
      </c>
      <c r="H127" s="470"/>
      <c r="I127" s="470"/>
    </row>
    <row r="128" spans="1:9" ht="15.75" customHeight="1">
      <c r="A128" s="586" t="s">
        <v>127</v>
      </c>
      <c r="B128" s="620" t="s">
        <v>1304</v>
      </c>
      <c r="C128" s="470" t="s">
        <v>763</v>
      </c>
      <c r="D128" s="630">
        <v>1</v>
      </c>
      <c r="E128" s="119">
        <v>0</v>
      </c>
      <c r="F128" s="606">
        <v>2</v>
      </c>
      <c r="G128" s="608">
        <v>0</v>
      </c>
      <c r="H128" s="470"/>
      <c r="I128" s="470"/>
    </row>
    <row r="129" spans="1:9" ht="15.75" customHeight="1">
      <c r="A129" s="586" t="s">
        <v>127</v>
      </c>
      <c r="B129" s="620" t="s">
        <v>1162</v>
      </c>
      <c r="C129" s="470" t="s">
        <v>764</v>
      </c>
      <c r="D129" s="630">
        <v>1</v>
      </c>
      <c r="E129" s="119">
        <v>0</v>
      </c>
      <c r="F129" s="606">
        <v>1</v>
      </c>
      <c r="G129" s="608">
        <v>0</v>
      </c>
      <c r="H129" s="470"/>
      <c r="I129" s="470"/>
    </row>
    <row r="130" spans="1:9" ht="15.75" customHeight="1">
      <c r="A130" s="586" t="s">
        <v>127</v>
      </c>
      <c r="B130" s="620" t="s">
        <v>1118</v>
      </c>
      <c r="C130" s="470" t="s">
        <v>765</v>
      </c>
      <c r="D130" s="630">
        <v>0</v>
      </c>
      <c r="E130" s="119">
        <v>0</v>
      </c>
      <c r="F130" s="606">
        <v>1</v>
      </c>
      <c r="G130" s="608">
        <v>0</v>
      </c>
      <c r="H130" s="470"/>
      <c r="I130" s="470"/>
    </row>
    <row r="131" spans="1:9" ht="15.75" customHeight="1">
      <c r="A131" s="586" t="s">
        <v>127</v>
      </c>
      <c r="B131" s="620" t="s">
        <v>1163</v>
      </c>
      <c r="C131" s="470" t="s">
        <v>766</v>
      </c>
      <c r="D131" s="630">
        <v>0</v>
      </c>
      <c r="E131" s="119">
        <v>0</v>
      </c>
      <c r="F131" s="606">
        <v>0</v>
      </c>
      <c r="G131" s="608">
        <v>0</v>
      </c>
      <c r="H131" s="470"/>
      <c r="I131" s="470"/>
    </row>
    <row r="132" spans="1:9" ht="15.75" customHeight="1">
      <c r="A132" s="586" t="s">
        <v>127</v>
      </c>
      <c r="B132" s="620" t="s">
        <v>1164</v>
      </c>
      <c r="C132" s="470" t="s">
        <v>767</v>
      </c>
      <c r="D132" s="630">
        <v>4</v>
      </c>
      <c r="E132" s="119">
        <v>4</v>
      </c>
      <c r="F132" s="606">
        <v>2</v>
      </c>
      <c r="G132" s="608">
        <v>2</v>
      </c>
      <c r="H132" s="470"/>
      <c r="I132" s="470"/>
    </row>
    <row r="133" spans="1:9" ht="15.75" customHeight="1">
      <c r="A133" s="586" t="s">
        <v>127</v>
      </c>
      <c r="B133" s="620" t="s">
        <v>1165</v>
      </c>
      <c r="C133" s="470" t="s">
        <v>768</v>
      </c>
      <c r="D133" s="630">
        <v>5</v>
      </c>
      <c r="E133" s="119">
        <v>6</v>
      </c>
      <c r="F133" s="606">
        <v>2</v>
      </c>
      <c r="G133" s="608">
        <v>2</v>
      </c>
      <c r="H133" s="470"/>
      <c r="I133" s="470"/>
    </row>
    <row r="134" spans="1:9" ht="15.75" customHeight="1">
      <c r="A134" s="586" t="s">
        <v>127</v>
      </c>
      <c r="B134" s="620" t="s">
        <v>1166</v>
      </c>
      <c r="C134" s="470" t="s">
        <v>769</v>
      </c>
      <c r="D134" s="630">
        <v>1</v>
      </c>
      <c r="E134" s="119">
        <v>0</v>
      </c>
      <c r="F134" s="606">
        <v>1</v>
      </c>
      <c r="G134" s="608">
        <v>0</v>
      </c>
      <c r="H134" s="138"/>
      <c r="I134" s="470"/>
    </row>
    <row r="135" spans="1:9" ht="15.75" customHeight="1">
      <c r="A135" s="586" t="s">
        <v>127</v>
      </c>
      <c r="B135" s="620" t="s">
        <v>1167</v>
      </c>
      <c r="C135" s="470" t="s">
        <v>770</v>
      </c>
      <c r="D135" s="630">
        <v>6</v>
      </c>
      <c r="E135" s="119">
        <v>4</v>
      </c>
      <c r="F135" s="606">
        <v>11</v>
      </c>
      <c r="G135" s="609">
        <v>5</v>
      </c>
      <c r="H135" s="470"/>
      <c r="I135" s="470"/>
    </row>
    <row r="136" spans="1:9" ht="15.75" customHeight="1">
      <c r="A136" s="586" t="s">
        <v>127</v>
      </c>
      <c r="B136" s="620" t="s">
        <v>1168</v>
      </c>
      <c r="C136" s="470" t="s">
        <v>771</v>
      </c>
      <c r="D136" s="630">
        <v>1</v>
      </c>
      <c r="E136" s="119">
        <v>0</v>
      </c>
      <c r="F136" s="606">
        <v>1</v>
      </c>
      <c r="G136" s="608">
        <v>0</v>
      </c>
      <c r="H136" s="470"/>
      <c r="I136" s="470"/>
    </row>
    <row r="137" spans="1:9" ht="15.75" customHeight="1">
      <c r="A137" s="586" t="s">
        <v>127</v>
      </c>
      <c r="B137" s="620" t="s">
        <v>1169</v>
      </c>
      <c r="C137" s="470" t="s">
        <v>772</v>
      </c>
      <c r="D137" s="630">
        <v>5</v>
      </c>
      <c r="E137" s="119">
        <v>3</v>
      </c>
      <c r="F137" s="606">
        <v>3</v>
      </c>
      <c r="G137" s="612">
        <v>1</v>
      </c>
      <c r="H137" s="470"/>
      <c r="I137" s="470"/>
    </row>
    <row r="138" spans="1:9" ht="15.75" customHeight="1">
      <c r="A138" s="586" t="s">
        <v>127</v>
      </c>
      <c r="B138" s="620" t="s">
        <v>464</v>
      </c>
      <c r="C138" s="470" t="s">
        <v>773</v>
      </c>
      <c r="D138" s="630">
        <v>0</v>
      </c>
      <c r="E138" s="119">
        <v>0</v>
      </c>
      <c r="F138" s="606">
        <v>21</v>
      </c>
      <c r="G138" s="608">
        <v>7</v>
      </c>
      <c r="H138" s="470"/>
      <c r="I138" s="470"/>
    </row>
    <row r="139" spans="1:9" ht="15.75" customHeight="1">
      <c r="A139" s="586" t="s">
        <v>127</v>
      </c>
      <c r="B139" s="620" t="s">
        <v>1170</v>
      </c>
      <c r="C139" s="470" t="s">
        <v>774</v>
      </c>
      <c r="D139" s="630">
        <v>1</v>
      </c>
      <c r="E139" s="119">
        <v>0</v>
      </c>
      <c r="F139" s="606">
        <v>0</v>
      </c>
      <c r="G139" s="608">
        <v>0</v>
      </c>
      <c r="H139" s="470"/>
      <c r="I139" s="470"/>
    </row>
    <row r="140" spans="1:9" ht="15.75" customHeight="1">
      <c r="A140" s="586" t="s">
        <v>127</v>
      </c>
      <c r="B140" s="620" t="s">
        <v>1171</v>
      </c>
      <c r="C140" s="470" t="s">
        <v>775</v>
      </c>
      <c r="D140" s="630">
        <v>0</v>
      </c>
      <c r="E140" s="119">
        <v>0</v>
      </c>
      <c r="F140" s="606">
        <v>1</v>
      </c>
      <c r="G140" s="608">
        <v>0</v>
      </c>
      <c r="H140" s="470"/>
      <c r="I140" s="470"/>
    </row>
    <row r="141" spans="1:9" ht="15.75" customHeight="1">
      <c r="A141" s="586" t="s">
        <v>127</v>
      </c>
      <c r="B141" s="620" t="s">
        <v>1172</v>
      </c>
      <c r="C141" s="470" t="s">
        <v>776</v>
      </c>
      <c r="D141" s="630">
        <v>10</v>
      </c>
      <c r="E141" s="119">
        <v>15</v>
      </c>
      <c r="F141" s="606">
        <v>11</v>
      </c>
      <c r="G141" s="608">
        <v>11</v>
      </c>
      <c r="H141" s="470"/>
      <c r="I141" s="470"/>
    </row>
    <row r="142" spans="1:9" ht="15.75" customHeight="1">
      <c r="A142" s="586" t="s">
        <v>127</v>
      </c>
      <c r="B142" s="620" t="s">
        <v>1173</v>
      </c>
      <c r="C142" s="470" t="s">
        <v>777</v>
      </c>
      <c r="D142" s="630">
        <v>12</v>
      </c>
      <c r="E142" s="119">
        <v>7</v>
      </c>
      <c r="F142" s="606">
        <v>6</v>
      </c>
      <c r="G142" s="608">
        <v>5</v>
      </c>
      <c r="H142" s="470"/>
      <c r="I142" s="470"/>
    </row>
    <row r="143" spans="1:9" ht="15.75" customHeight="1">
      <c r="A143" s="586" t="s">
        <v>127</v>
      </c>
      <c r="B143" s="620" t="s">
        <v>1114</v>
      </c>
      <c r="C143" s="470" t="s">
        <v>778</v>
      </c>
      <c r="D143" s="630">
        <v>3</v>
      </c>
      <c r="E143" s="119">
        <v>1</v>
      </c>
      <c r="F143" s="606">
        <v>5</v>
      </c>
      <c r="G143" s="608">
        <v>1</v>
      </c>
      <c r="H143" s="470"/>
      <c r="I143" s="470"/>
    </row>
    <row r="144" spans="1:9" ht="15.75" customHeight="1">
      <c r="A144" s="586" t="s">
        <v>127</v>
      </c>
      <c r="B144" s="620" t="s">
        <v>1174</v>
      </c>
      <c r="C144" s="470" t="s">
        <v>779</v>
      </c>
      <c r="D144" s="630">
        <v>1</v>
      </c>
      <c r="E144" s="119">
        <v>0</v>
      </c>
      <c r="F144" s="606">
        <v>1</v>
      </c>
      <c r="G144" s="608">
        <v>0</v>
      </c>
      <c r="H144" s="470"/>
      <c r="I144" s="470"/>
    </row>
    <row r="145" spans="1:9" ht="15.75" customHeight="1">
      <c r="A145" s="586" t="s">
        <v>127</v>
      </c>
      <c r="B145" s="620" t="s">
        <v>1145</v>
      </c>
      <c r="C145" s="470" t="s">
        <v>780</v>
      </c>
      <c r="D145" s="630">
        <v>8</v>
      </c>
      <c r="E145" s="119">
        <v>10</v>
      </c>
      <c r="F145" s="606">
        <v>1</v>
      </c>
      <c r="G145" s="608">
        <v>0</v>
      </c>
      <c r="H145" s="470"/>
      <c r="I145" s="470"/>
    </row>
    <row r="146" spans="1:9" ht="15.75" customHeight="1">
      <c r="A146" s="586" t="s">
        <v>127</v>
      </c>
      <c r="B146" s="620" t="s">
        <v>1175</v>
      </c>
      <c r="C146" s="470" t="s">
        <v>781</v>
      </c>
      <c r="D146" s="630">
        <v>1</v>
      </c>
      <c r="E146" s="119">
        <v>0</v>
      </c>
      <c r="F146" s="606">
        <v>0</v>
      </c>
      <c r="G146" s="608">
        <v>0</v>
      </c>
      <c r="H146" s="470"/>
      <c r="I146" s="470"/>
    </row>
    <row r="147" spans="1:9" ht="15.75" customHeight="1">
      <c r="A147" s="586" t="s">
        <v>127</v>
      </c>
      <c r="B147" s="620" t="s">
        <v>1309</v>
      </c>
      <c r="C147" s="470" t="s">
        <v>782</v>
      </c>
      <c r="D147" s="630">
        <v>0</v>
      </c>
      <c r="E147" s="119">
        <v>0</v>
      </c>
      <c r="F147" s="606">
        <v>3</v>
      </c>
      <c r="G147" s="608">
        <v>2</v>
      </c>
      <c r="H147" s="470"/>
      <c r="I147" s="470"/>
    </row>
    <row r="148" spans="1:9" ht="15.75" customHeight="1">
      <c r="A148" s="586" t="s">
        <v>127</v>
      </c>
      <c r="B148" s="620" t="s">
        <v>1176</v>
      </c>
      <c r="C148" s="470" t="s">
        <v>783</v>
      </c>
      <c r="D148" s="630">
        <v>4</v>
      </c>
      <c r="E148" s="119">
        <v>0</v>
      </c>
      <c r="F148" s="606">
        <v>2</v>
      </c>
      <c r="G148" s="608">
        <v>0</v>
      </c>
      <c r="H148" s="470"/>
      <c r="I148" s="470"/>
    </row>
    <row r="149" spans="1:9" ht="15.75" customHeight="1">
      <c r="A149" s="586" t="s">
        <v>127</v>
      </c>
      <c r="B149" s="620" t="s">
        <v>1177</v>
      </c>
      <c r="C149" s="470" t="s">
        <v>784</v>
      </c>
      <c r="D149" s="630">
        <v>2</v>
      </c>
      <c r="E149" s="119">
        <v>0</v>
      </c>
      <c r="F149" s="606">
        <v>1</v>
      </c>
      <c r="G149" s="608">
        <v>0</v>
      </c>
      <c r="H149" s="470"/>
      <c r="I149" s="470"/>
    </row>
    <row r="150" spans="1:9" ht="15.75" customHeight="1">
      <c r="A150" s="586" t="s">
        <v>127</v>
      </c>
      <c r="B150" s="620" t="s">
        <v>1103</v>
      </c>
      <c r="C150" s="470" t="s">
        <v>785</v>
      </c>
      <c r="D150" s="630">
        <v>3</v>
      </c>
      <c r="E150" s="119">
        <v>0</v>
      </c>
      <c r="F150" s="606">
        <v>4</v>
      </c>
      <c r="G150" s="608">
        <v>0</v>
      </c>
      <c r="H150" s="470"/>
      <c r="I150" s="470"/>
    </row>
    <row r="151" spans="1:9" ht="15.75" customHeight="1">
      <c r="A151" s="586" t="s">
        <v>127</v>
      </c>
      <c r="B151" s="620" t="s">
        <v>1310</v>
      </c>
      <c r="C151" s="470" t="s">
        <v>786</v>
      </c>
      <c r="D151" s="630">
        <v>2</v>
      </c>
      <c r="E151" s="119">
        <v>0</v>
      </c>
      <c r="F151" s="606">
        <v>2</v>
      </c>
      <c r="G151" s="608">
        <v>0</v>
      </c>
      <c r="H151" s="470"/>
      <c r="I151" s="470"/>
    </row>
    <row r="152" spans="1:9" ht="15.75" customHeight="1">
      <c r="A152" s="586" t="s">
        <v>127</v>
      </c>
      <c r="B152" s="620" t="s">
        <v>1178</v>
      </c>
      <c r="C152" s="470" t="s">
        <v>787</v>
      </c>
      <c r="D152" s="630">
        <v>1</v>
      </c>
      <c r="E152" s="119">
        <v>0</v>
      </c>
      <c r="F152" s="606">
        <v>0</v>
      </c>
      <c r="G152" s="608">
        <v>0</v>
      </c>
      <c r="H152" s="470"/>
      <c r="I152" s="470"/>
    </row>
    <row r="153" spans="1:9" ht="15.75" customHeight="1">
      <c r="A153" s="586" t="s">
        <v>127</v>
      </c>
      <c r="B153" s="620" t="s">
        <v>464</v>
      </c>
      <c r="C153" s="470" t="s">
        <v>788</v>
      </c>
      <c r="D153" s="630">
        <v>29</v>
      </c>
      <c r="E153" s="119">
        <v>19</v>
      </c>
      <c r="F153" s="606">
        <v>0</v>
      </c>
      <c r="G153" s="608">
        <v>0</v>
      </c>
      <c r="H153" s="470"/>
      <c r="I153" s="470"/>
    </row>
    <row r="154" spans="1:9" ht="15.75" customHeight="1">
      <c r="A154" s="586" t="s">
        <v>127</v>
      </c>
      <c r="B154" s="620" t="s">
        <v>1179</v>
      </c>
      <c r="C154" s="470" t="s">
        <v>789</v>
      </c>
      <c r="D154" s="630">
        <v>0</v>
      </c>
      <c r="E154" s="119">
        <v>0</v>
      </c>
      <c r="F154" s="606">
        <v>0</v>
      </c>
      <c r="G154" s="608">
        <v>0</v>
      </c>
      <c r="H154" s="470"/>
      <c r="I154" s="470"/>
    </row>
    <row r="155" spans="1:9" ht="15.75" customHeight="1">
      <c r="A155" s="586" t="s">
        <v>127</v>
      </c>
      <c r="B155" s="620" t="s">
        <v>1115</v>
      </c>
      <c r="C155" s="470" t="s">
        <v>790</v>
      </c>
      <c r="D155" s="630">
        <v>0</v>
      </c>
      <c r="E155" s="119">
        <v>0</v>
      </c>
      <c r="F155" s="606">
        <v>1</v>
      </c>
      <c r="G155" s="608">
        <v>0</v>
      </c>
      <c r="H155" s="470"/>
      <c r="I155" s="470"/>
    </row>
    <row r="156" spans="1:9" ht="15.75" customHeight="1">
      <c r="A156" s="586" t="s">
        <v>127</v>
      </c>
      <c r="B156" s="620" t="s">
        <v>1180</v>
      </c>
      <c r="C156" s="470" t="s">
        <v>791</v>
      </c>
      <c r="D156" s="630">
        <v>0</v>
      </c>
      <c r="E156" s="119">
        <v>0</v>
      </c>
      <c r="F156" s="606">
        <v>0</v>
      </c>
      <c r="G156" s="608">
        <v>0</v>
      </c>
      <c r="H156" s="470"/>
      <c r="I156" s="470"/>
    </row>
    <row r="157" spans="1:9" ht="15.75" customHeight="1">
      <c r="A157" s="586" t="s">
        <v>127</v>
      </c>
      <c r="B157" s="620" t="s">
        <v>1181</v>
      </c>
      <c r="C157" s="470" t="s">
        <v>792</v>
      </c>
      <c r="D157" s="630">
        <v>5</v>
      </c>
      <c r="E157" s="119">
        <v>1</v>
      </c>
      <c r="F157" s="606">
        <v>8</v>
      </c>
      <c r="G157" s="608">
        <v>1</v>
      </c>
      <c r="H157" s="470"/>
      <c r="I157" s="470"/>
    </row>
    <row r="158" spans="1:9" ht="15.75" customHeight="1">
      <c r="A158" s="586" t="s">
        <v>127</v>
      </c>
      <c r="B158" s="620" t="s">
        <v>1182</v>
      </c>
      <c r="C158" s="470" t="s">
        <v>793</v>
      </c>
      <c r="D158" s="630">
        <v>2</v>
      </c>
      <c r="E158" s="119">
        <v>1</v>
      </c>
      <c r="F158" s="606">
        <v>1</v>
      </c>
      <c r="G158" s="608">
        <v>0</v>
      </c>
      <c r="H158" s="470"/>
      <c r="I158" s="470"/>
    </row>
    <row r="159" spans="1:9" ht="15.75" customHeight="1">
      <c r="A159" s="586" t="s">
        <v>127</v>
      </c>
      <c r="B159" s="620" t="s">
        <v>1311</v>
      </c>
      <c r="C159" s="470" t="s">
        <v>794</v>
      </c>
      <c r="D159" s="630">
        <v>1</v>
      </c>
      <c r="E159" s="119">
        <v>0</v>
      </c>
      <c r="F159" s="606">
        <v>6</v>
      </c>
      <c r="G159" s="608">
        <v>1</v>
      </c>
      <c r="H159" s="470"/>
      <c r="I159" s="470"/>
    </row>
    <row r="160" spans="1:9" ht="15.75" customHeight="1">
      <c r="A160" s="586" t="s">
        <v>127</v>
      </c>
      <c r="B160" s="620" t="s">
        <v>1183</v>
      </c>
      <c r="C160" s="470" t="s">
        <v>795</v>
      </c>
      <c r="D160" s="630">
        <v>1</v>
      </c>
      <c r="E160" s="119">
        <v>0</v>
      </c>
      <c r="F160" s="606">
        <v>1</v>
      </c>
      <c r="G160" s="608">
        <v>1</v>
      </c>
      <c r="H160" s="470"/>
      <c r="I160" s="470"/>
    </row>
    <row r="161" spans="1:9" ht="15.75" customHeight="1">
      <c r="A161" s="586" t="s">
        <v>127</v>
      </c>
      <c r="B161" s="620" t="s">
        <v>796</v>
      </c>
      <c r="C161" s="470" t="s">
        <v>797</v>
      </c>
      <c r="D161" s="630">
        <v>0</v>
      </c>
      <c r="E161" s="119">
        <v>0</v>
      </c>
      <c r="F161" s="606">
        <v>1</v>
      </c>
      <c r="G161" s="608">
        <v>0</v>
      </c>
      <c r="H161" s="470"/>
      <c r="I161" s="470"/>
    </row>
    <row r="162" spans="1:9" ht="15.75" customHeight="1">
      <c r="A162" s="586" t="s">
        <v>127</v>
      </c>
      <c r="B162" s="620" t="s">
        <v>1184</v>
      </c>
      <c r="C162" s="470" t="s">
        <v>798</v>
      </c>
      <c r="D162" s="630">
        <v>0</v>
      </c>
      <c r="E162" s="119">
        <v>0</v>
      </c>
      <c r="F162" s="606">
        <v>2</v>
      </c>
      <c r="G162" s="608">
        <v>0</v>
      </c>
      <c r="H162" s="470"/>
      <c r="I162" s="470"/>
    </row>
    <row r="163" spans="1:9" ht="15.75" customHeight="1">
      <c r="A163" s="586" t="s">
        <v>127</v>
      </c>
      <c r="B163" s="620" t="s">
        <v>1185</v>
      </c>
      <c r="C163" s="470" t="s">
        <v>799</v>
      </c>
      <c r="D163" s="630">
        <v>0</v>
      </c>
      <c r="E163" s="119">
        <v>0</v>
      </c>
      <c r="F163" s="606">
        <v>5</v>
      </c>
      <c r="G163" s="608">
        <v>0</v>
      </c>
      <c r="H163" s="470"/>
      <c r="I163" s="470"/>
    </row>
    <row r="164" spans="1:9" ht="15.75" customHeight="1">
      <c r="A164" s="586" t="s">
        <v>127</v>
      </c>
      <c r="B164" s="620" t="s">
        <v>1186</v>
      </c>
      <c r="C164" s="470" t="s">
        <v>800</v>
      </c>
      <c r="D164" s="630">
        <v>0</v>
      </c>
      <c r="E164" s="119">
        <v>0</v>
      </c>
      <c r="F164" s="606">
        <v>1</v>
      </c>
      <c r="G164" s="608">
        <v>0</v>
      </c>
      <c r="H164" s="470"/>
      <c r="I164" s="470"/>
    </row>
    <row r="165" spans="1:9" ht="15.75" customHeight="1">
      <c r="A165" s="586" t="s">
        <v>127</v>
      </c>
      <c r="B165" s="621" t="s">
        <v>464</v>
      </c>
      <c r="C165" s="228" t="s">
        <v>801</v>
      </c>
      <c r="D165" s="628">
        <v>0</v>
      </c>
      <c r="E165" s="629">
        <v>0</v>
      </c>
      <c r="F165" s="606">
        <v>7</v>
      </c>
      <c r="G165" s="608">
        <v>1</v>
      </c>
      <c r="H165" s="470"/>
      <c r="I165" s="470"/>
    </row>
    <row r="166" spans="1:9" s="579" customFormat="1" ht="15.75" customHeight="1">
      <c r="A166" s="657" t="str">
        <f>CONCATENATE("Total ",A165,":")</f>
        <v>Total Construction Materials:</v>
      </c>
      <c r="B166" s="658"/>
      <c r="C166" s="659"/>
      <c r="D166" s="581">
        <f>SUMIF($A$7:$A$485,$A165,D$7:D$485)</f>
        <v>1360</v>
      </c>
      <c r="E166" s="597">
        <f>SUMIF($A$7:$A$485,$A165,E$7:E$485)</f>
        <v>702</v>
      </c>
      <c r="F166" s="581">
        <f>SUMIF($A$7:$A$485,$A165,F$7:F$485)</f>
        <v>1946</v>
      </c>
      <c r="G166" s="597">
        <f>SUMIF($A$7:$A$485,$A165,G$7:G$485)</f>
        <v>698</v>
      </c>
    </row>
    <row r="167" spans="1:9" ht="15.75" customHeight="1">
      <c r="A167" s="146" t="s">
        <v>100</v>
      </c>
      <c r="B167" s="621" t="s">
        <v>1194</v>
      </c>
      <c r="C167" s="228" t="s">
        <v>809</v>
      </c>
      <c r="D167" s="628">
        <v>1096</v>
      </c>
      <c r="E167" s="629">
        <v>966</v>
      </c>
      <c r="F167" s="606">
        <v>873</v>
      </c>
      <c r="G167" s="608">
        <v>768</v>
      </c>
      <c r="H167" s="470"/>
      <c r="I167" s="470"/>
    </row>
    <row r="168" spans="1:9" ht="15.75" customHeight="1">
      <c r="A168" s="146" t="s">
        <v>100</v>
      </c>
      <c r="B168" s="620" t="s">
        <v>1195</v>
      </c>
      <c r="C168" s="470" t="s">
        <v>810</v>
      </c>
      <c r="D168" s="630">
        <v>97</v>
      </c>
      <c r="E168" s="119">
        <v>96</v>
      </c>
      <c r="F168" s="606">
        <v>0</v>
      </c>
      <c r="G168" s="608">
        <v>0</v>
      </c>
      <c r="H168" s="138"/>
      <c r="I168" s="470"/>
    </row>
    <row r="169" spans="1:9" ht="15.75" customHeight="1">
      <c r="A169" s="146" t="s">
        <v>100</v>
      </c>
      <c r="B169" s="620" t="s">
        <v>1196</v>
      </c>
      <c r="C169" s="470" t="s">
        <v>811</v>
      </c>
      <c r="D169" s="630">
        <v>2</v>
      </c>
      <c r="E169" s="119">
        <v>1</v>
      </c>
      <c r="F169" s="606">
        <v>0</v>
      </c>
      <c r="G169" s="608">
        <v>0</v>
      </c>
      <c r="H169" s="138"/>
      <c r="I169" s="470"/>
    </row>
    <row r="170" spans="1:9" s="579" customFormat="1" ht="15.75" customHeight="1">
      <c r="A170" s="657" t="str">
        <f>CONCATENATE("Total ",A169,":")</f>
        <v>Total Diamonds:</v>
      </c>
      <c r="B170" s="658"/>
      <c r="C170" s="659"/>
      <c r="D170" s="581">
        <f>SUMIF($A$7:$A$485,$A169,D$7:D$485)</f>
        <v>1195</v>
      </c>
      <c r="E170" s="597">
        <f>SUMIF($A$7:$A$485,$A169,E$7:E$485)</f>
        <v>1063</v>
      </c>
      <c r="F170" s="581">
        <f>SUMIF($A$7:$A$485,$A169,F$7:F$485)</f>
        <v>873</v>
      </c>
      <c r="G170" s="597">
        <f>SUMIF($A$7:$A$485,$A169,G$7:G$485)</f>
        <v>768</v>
      </c>
    </row>
    <row r="171" spans="1:9" ht="15.75" customHeight="1">
      <c r="A171" s="586" t="s">
        <v>1305</v>
      </c>
      <c r="B171" s="620" t="s">
        <v>1197</v>
      </c>
      <c r="C171" s="470" t="s">
        <v>812</v>
      </c>
      <c r="D171" s="587">
        <v>2</v>
      </c>
      <c r="E171" s="600">
        <v>2</v>
      </c>
      <c r="F171" s="606">
        <v>2</v>
      </c>
      <c r="G171" s="608">
        <v>1</v>
      </c>
      <c r="H171" s="470"/>
      <c r="I171" s="470"/>
    </row>
    <row r="172" spans="1:9" s="579" customFormat="1" ht="15.75" customHeight="1">
      <c r="A172" s="657" t="str">
        <f>CONCATENATE("Total ",A171,":")</f>
        <v>Total Diatomite and Spongolite:</v>
      </c>
      <c r="B172" s="658"/>
      <c r="C172" s="659"/>
      <c r="D172" s="581">
        <f>SUMIF($A$7:$A$485,$A171,D$7:D$485)</f>
        <v>2</v>
      </c>
      <c r="E172" s="597">
        <f>SUMIF($A$7:$A$485,$A171,E$7:E$485)</f>
        <v>2</v>
      </c>
      <c r="F172" s="581">
        <f>SUMIF($A$7:$A$485,$A171,F$7:F$485)</f>
        <v>2</v>
      </c>
      <c r="G172" s="597">
        <f>SUMIF($A$7:$A$485,$A171,G$7:G$485)</f>
        <v>1</v>
      </c>
      <c r="H172" s="470"/>
      <c r="I172" s="470"/>
    </row>
    <row r="173" spans="1:9" ht="15.75" customHeight="1">
      <c r="A173" s="146" t="s">
        <v>128</v>
      </c>
      <c r="B173" s="621" t="s">
        <v>1198</v>
      </c>
      <c r="C173" s="228" t="s">
        <v>813</v>
      </c>
      <c r="D173" s="628">
        <v>32</v>
      </c>
      <c r="E173" s="629">
        <v>23</v>
      </c>
      <c r="F173" s="606">
        <v>44</v>
      </c>
      <c r="G173" s="608">
        <v>16</v>
      </c>
      <c r="H173" s="470"/>
      <c r="I173" s="470"/>
    </row>
    <row r="174" spans="1:9" ht="15.75" customHeight="1">
      <c r="A174" s="146" t="s">
        <v>128</v>
      </c>
      <c r="B174" s="620" t="s">
        <v>1199</v>
      </c>
      <c r="C174" s="470" t="s">
        <v>814</v>
      </c>
      <c r="D174" s="630">
        <v>6</v>
      </c>
      <c r="E174" s="119">
        <v>4</v>
      </c>
      <c r="F174" s="606">
        <v>6</v>
      </c>
      <c r="G174" s="608">
        <v>5</v>
      </c>
      <c r="H174" s="470"/>
      <c r="I174" s="470"/>
    </row>
    <row r="175" spans="1:9" ht="15.75" customHeight="1">
      <c r="A175" s="146" t="s">
        <v>128</v>
      </c>
      <c r="B175" s="621" t="s">
        <v>1200</v>
      </c>
      <c r="C175" s="228" t="s">
        <v>815</v>
      </c>
      <c r="D175" s="628">
        <v>26</v>
      </c>
      <c r="E175" s="629">
        <v>21</v>
      </c>
      <c r="F175" s="606">
        <v>24</v>
      </c>
      <c r="G175" s="608">
        <v>19</v>
      </c>
      <c r="H175" s="470"/>
      <c r="I175" s="470"/>
    </row>
    <row r="176" spans="1:9" ht="15.75" customHeight="1">
      <c r="A176" s="146" t="s">
        <v>128</v>
      </c>
      <c r="B176" s="620" t="s">
        <v>1201</v>
      </c>
      <c r="C176" s="470" t="s">
        <v>816</v>
      </c>
      <c r="D176" s="630">
        <v>1</v>
      </c>
      <c r="E176" s="119">
        <v>0</v>
      </c>
      <c r="F176" s="606">
        <v>1</v>
      </c>
      <c r="G176" s="608">
        <v>0</v>
      </c>
      <c r="H176" s="470"/>
      <c r="I176" s="470"/>
    </row>
    <row r="177" spans="1:9" ht="15.75" customHeight="1">
      <c r="A177" s="146" t="s">
        <v>128</v>
      </c>
      <c r="B177" s="620" t="s">
        <v>1202</v>
      </c>
      <c r="C177" s="470" t="s">
        <v>817</v>
      </c>
      <c r="D177" s="630">
        <v>2</v>
      </c>
      <c r="E177" s="119">
        <v>1</v>
      </c>
      <c r="F177" s="606">
        <v>1</v>
      </c>
      <c r="G177" s="608">
        <v>1</v>
      </c>
      <c r="H177" s="470"/>
      <c r="I177" s="470"/>
    </row>
    <row r="178" spans="1:9" ht="15.75" customHeight="1">
      <c r="A178" s="146" t="s">
        <v>128</v>
      </c>
      <c r="B178" s="620" t="s">
        <v>463</v>
      </c>
      <c r="C178" s="470" t="s">
        <v>818</v>
      </c>
      <c r="D178" s="630">
        <v>21</v>
      </c>
      <c r="E178" s="119">
        <v>22</v>
      </c>
      <c r="F178" s="606">
        <v>438</v>
      </c>
      <c r="G178" s="608">
        <v>23</v>
      </c>
      <c r="H178" s="470"/>
      <c r="I178" s="470"/>
    </row>
    <row r="179" spans="1:9" ht="15.75" customHeight="1">
      <c r="A179" s="146" t="s">
        <v>128</v>
      </c>
      <c r="B179" s="620" t="s">
        <v>1203</v>
      </c>
      <c r="C179" s="470" t="s">
        <v>819</v>
      </c>
      <c r="D179" s="630">
        <v>3</v>
      </c>
      <c r="E179" s="119">
        <v>2</v>
      </c>
      <c r="F179" s="606">
        <v>1</v>
      </c>
      <c r="G179" s="608">
        <v>0</v>
      </c>
      <c r="H179" s="470"/>
      <c r="I179" s="470"/>
    </row>
    <row r="180" spans="1:9" ht="15.75" customHeight="1">
      <c r="A180" s="146" t="s">
        <v>128</v>
      </c>
      <c r="B180" s="620" t="s">
        <v>1204</v>
      </c>
      <c r="C180" s="470" t="s">
        <v>820</v>
      </c>
      <c r="D180" s="630">
        <v>5</v>
      </c>
      <c r="E180" s="119">
        <v>4</v>
      </c>
      <c r="F180" s="606">
        <v>3</v>
      </c>
      <c r="G180" s="608">
        <v>4</v>
      </c>
      <c r="H180" s="470"/>
      <c r="I180" s="470"/>
    </row>
    <row r="181" spans="1:9" ht="15.75" customHeight="1">
      <c r="A181" s="146" t="s">
        <v>128</v>
      </c>
      <c r="B181" s="620" t="s">
        <v>1205</v>
      </c>
      <c r="C181" s="470" t="s">
        <v>821</v>
      </c>
      <c r="D181" s="630">
        <v>229</v>
      </c>
      <c r="E181" s="119">
        <v>16</v>
      </c>
      <c r="F181" s="606">
        <v>113</v>
      </c>
      <c r="G181" s="608">
        <v>14</v>
      </c>
      <c r="H181" s="470"/>
      <c r="I181" s="470"/>
    </row>
    <row r="182" spans="1:9" ht="15.75" customHeight="1">
      <c r="A182" s="146" t="s">
        <v>128</v>
      </c>
      <c r="B182" s="620" t="s">
        <v>1206</v>
      </c>
      <c r="C182" s="470" t="s">
        <v>822</v>
      </c>
      <c r="D182" s="630">
        <v>2</v>
      </c>
      <c r="E182" s="119">
        <v>1</v>
      </c>
      <c r="F182" s="606">
        <v>2</v>
      </c>
      <c r="G182" s="608">
        <v>2</v>
      </c>
      <c r="H182" s="470"/>
      <c r="I182" s="470"/>
    </row>
    <row r="183" spans="1:9" ht="15.75" customHeight="1">
      <c r="A183" s="146" t="s">
        <v>128</v>
      </c>
      <c r="B183" s="620" t="s">
        <v>463</v>
      </c>
      <c r="C183" s="470" t="s">
        <v>823</v>
      </c>
      <c r="D183" s="630">
        <v>8</v>
      </c>
      <c r="E183" s="119">
        <v>9</v>
      </c>
      <c r="F183" s="606">
        <v>248</v>
      </c>
      <c r="G183" s="608">
        <v>11</v>
      </c>
      <c r="H183" s="470"/>
      <c r="I183" s="470"/>
    </row>
    <row r="184" spans="1:9" ht="15.75" customHeight="1">
      <c r="A184" s="146" t="s">
        <v>128</v>
      </c>
      <c r="B184" s="620" t="s">
        <v>1207</v>
      </c>
      <c r="C184" s="470" t="s">
        <v>824</v>
      </c>
      <c r="D184" s="630">
        <v>2</v>
      </c>
      <c r="E184" s="119">
        <v>1</v>
      </c>
      <c r="F184" s="606">
        <v>0</v>
      </c>
      <c r="G184" s="608">
        <v>0</v>
      </c>
      <c r="H184" s="470"/>
      <c r="I184" s="470"/>
    </row>
    <row r="185" spans="1:9" ht="15.75" customHeight="1">
      <c r="A185" s="146" t="s">
        <v>128</v>
      </c>
      <c r="B185" s="620" t="s">
        <v>461</v>
      </c>
      <c r="C185" s="470" t="s">
        <v>825</v>
      </c>
      <c r="D185" s="630">
        <v>1</v>
      </c>
      <c r="E185" s="119">
        <v>1</v>
      </c>
      <c r="F185" s="606">
        <v>1</v>
      </c>
      <c r="G185" s="608">
        <v>0</v>
      </c>
      <c r="H185" s="470"/>
      <c r="I185" s="470"/>
    </row>
    <row r="186" spans="1:9" s="579" customFormat="1" ht="15.75" customHeight="1">
      <c r="A186" s="657" t="str">
        <f>CONCATENATE("Total ",A185,":")</f>
        <v>Total Dimension Stone:</v>
      </c>
      <c r="B186" s="658"/>
      <c r="C186" s="659"/>
      <c r="D186" s="581">
        <f>SUMIF($A$7:$A$485,$A185,D$7:D$485)</f>
        <v>338</v>
      </c>
      <c r="E186" s="597">
        <f>SUMIF($A$7:$A$485,$A185,E$7:E$485)</f>
        <v>105</v>
      </c>
      <c r="F186" s="581">
        <f>SUMIF($A$7:$A$485,$A185,F$7:F$485)</f>
        <v>882</v>
      </c>
      <c r="G186" s="597">
        <f>SUMIF($A$7:$A$485,$A185,G$7:G$485)</f>
        <v>95</v>
      </c>
      <c r="H186" s="470"/>
      <c r="I186" s="470"/>
    </row>
    <row r="187" spans="1:9" ht="15.75" customHeight="1">
      <c r="A187" s="586" t="s">
        <v>1306</v>
      </c>
      <c r="B187" s="620" t="s">
        <v>1208</v>
      </c>
      <c r="C187" s="470" t="s">
        <v>826</v>
      </c>
      <c r="D187" s="587">
        <v>1</v>
      </c>
      <c r="E187" s="600">
        <v>1</v>
      </c>
      <c r="F187" s="606">
        <v>0</v>
      </c>
      <c r="G187" s="608">
        <v>0</v>
      </c>
      <c r="H187" s="470"/>
      <c r="I187" s="470"/>
    </row>
    <row r="188" spans="1:9" ht="15.75" customHeight="1">
      <c r="A188" s="586" t="s">
        <v>1306</v>
      </c>
      <c r="B188" s="620" t="s">
        <v>1209</v>
      </c>
      <c r="C188" s="470" t="s">
        <v>827</v>
      </c>
      <c r="D188" s="587">
        <v>3</v>
      </c>
      <c r="E188" s="600">
        <v>0</v>
      </c>
      <c r="F188" s="606">
        <v>2</v>
      </c>
      <c r="G188" s="608">
        <v>0</v>
      </c>
      <c r="H188" s="470"/>
      <c r="I188" s="470"/>
    </row>
    <row r="189" spans="1:9" ht="15.75" customHeight="1">
      <c r="A189" s="586" t="s">
        <v>1306</v>
      </c>
      <c r="B189" s="620" t="s">
        <v>1210</v>
      </c>
      <c r="C189" s="470" t="s">
        <v>828</v>
      </c>
      <c r="D189" s="587">
        <v>0</v>
      </c>
      <c r="E189" s="600">
        <v>0</v>
      </c>
      <c r="F189" s="606">
        <v>1</v>
      </c>
      <c r="G189" s="608">
        <v>0</v>
      </c>
      <c r="H189" s="470"/>
      <c r="I189" s="470"/>
    </row>
    <row r="190" spans="1:9" s="579" customFormat="1" ht="15.75" customHeight="1">
      <c r="A190" s="657" t="str">
        <f>CONCATENATE("Total ",A189,":")</f>
        <v>Total Gem &amp; Semi-Precious Stones:</v>
      </c>
      <c r="B190" s="658"/>
      <c r="C190" s="659"/>
      <c r="D190" s="581">
        <f>SUMIF($A$7:$A$485,$A189,D$7:D$485)</f>
        <v>4</v>
      </c>
      <c r="E190" s="597">
        <f>SUMIF($A$7:$A$485,$A189,E$7:E$485)</f>
        <v>1</v>
      </c>
      <c r="F190" s="581">
        <f>SUMIF($A$7:$A$485,$A189,F$7:F$485)</f>
        <v>3</v>
      </c>
      <c r="G190" s="597">
        <f>SUMIF($A$7:$A$485,$A189,G$7:G$485)</f>
        <v>0</v>
      </c>
      <c r="H190" s="470"/>
      <c r="I190" s="470"/>
    </row>
    <row r="191" spans="1:9" ht="15.75" customHeight="1">
      <c r="A191" s="586" t="s">
        <v>15</v>
      </c>
      <c r="B191" s="620" t="s">
        <v>1211</v>
      </c>
      <c r="C191" s="470" t="s">
        <v>829</v>
      </c>
      <c r="D191" s="630">
        <v>0</v>
      </c>
      <c r="E191" s="119">
        <v>0</v>
      </c>
      <c r="F191" s="606">
        <v>236</v>
      </c>
      <c r="G191" s="608">
        <v>220</v>
      </c>
      <c r="H191" s="470"/>
      <c r="I191" s="470"/>
    </row>
    <row r="192" spans="1:9" ht="15.75" customHeight="1">
      <c r="A192" s="586" t="s">
        <v>15</v>
      </c>
      <c r="B192" s="620" t="s">
        <v>1212</v>
      </c>
      <c r="C192" s="470" t="s">
        <v>830</v>
      </c>
      <c r="D192" s="630">
        <v>0</v>
      </c>
      <c r="E192" s="119">
        <v>0</v>
      </c>
      <c r="F192" s="606">
        <v>2</v>
      </c>
      <c r="G192" s="608">
        <v>0</v>
      </c>
      <c r="H192" s="470"/>
      <c r="I192" s="470"/>
    </row>
    <row r="193" spans="1:9" ht="15.75" customHeight="1">
      <c r="A193" s="146" t="s">
        <v>15</v>
      </c>
      <c r="B193" s="621" t="s">
        <v>1213</v>
      </c>
      <c r="C193" s="228" t="s">
        <v>831</v>
      </c>
      <c r="D193" s="628">
        <v>0</v>
      </c>
      <c r="E193" s="629">
        <v>0</v>
      </c>
      <c r="F193" s="606">
        <v>1501</v>
      </c>
      <c r="G193" s="608">
        <v>1109</v>
      </c>
      <c r="H193" s="470"/>
      <c r="I193" s="470"/>
    </row>
    <row r="194" spans="1:9" ht="15.75" customHeight="1">
      <c r="A194" s="586" t="s">
        <v>15</v>
      </c>
      <c r="B194" s="620" t="s">
        <v>1214</v>
      </c>
      <c r="C194" s="470" t="s">
        <v>832</v>
      </c>
      <c r="D194" s="630">
        <v>0</v>
      </c>
      <c r="E194" s="119">
        <v>0</v>
      </c>
      <c r="F194" s="606">
        <v>5</v>
      </c>
      <c r="G194" s="608">
        <v>9</v>
      </c>
      <c r="H194" s="470"/>
      <c r="I194" s="470"/>
    </row>
    <row r="195" spans="1:9" ht="15.75" customHeight="1">
      <c r="A195" s="586" t="s">
        <v>15</v>
      </c>
      <c r="B195" s="620" t="s">
        <v>1319</v>
      </c>
      <c r="C195" s="470" t="s">
        <v>833</v>
      </c>
      <c r="D195" s="630">
        <v>6</v>
      </c>
      <c r="E195" s="119">
        <v>9</v>
      </c>
      <c r="F195" s="606">
        <v>10</v>
      </c>
      <c r="G195" s="608">
        <v>13</v>
      </c>
      <c r="H195" s="470"/>
      <c r="I195" s="470"/>
    </row>
    <row r="196" spans="1:9" ht="15.75" customHeight="1">
      <c r="A196" s="586" t="s">
        <v>15</v>
      </c>
      <c r="B196" s="620" t="s">
        <v>1211</v>
      </c>
      <c r="C196" s="470" t="s">
        <v>829</v>
      </c>
      <c r="D196" s="630">
        <v>893</v>
      </c>
      <c r="E196" s="119">
        <v>787</v>
      </c>
      <c r="F196" s="606">
        <v>798</v>
      </c>
      <c r="G196" s="608">
        <v>598</v>
      </c>
      <c r="H196" s="470"/>
      <c r="I196" s="470"/>
    </row>
    <row r="197" spans="1:9" ht="15.75" customHeight="1">
      <c r="A197" s="146" t="s">
        <v>15</v>
      </c>
      <c r="B197" s="621" t="s">
        <v>465</v>
      </c>
      <c r="C197" s="228" t="s">
        <v>834</v>
      </c>
      <c r="D197" s="628">
        <v>3</v>
      </c>
      <c r="E197" s="629">
        <v>2</v>
      </c>
      <c r="F197" s="606">
        <v>0</v>
      </c>
      <c r="G197" s="608">
        <v>0</v>
      </c>
      <c r="H197" s="470"/>
      <c r="I197" s="470"/>
    </row>
    <row r="198" spans="1:9" ht="15.75" customHeight="1">
      <c r="A198" s="586" t="s">
        <v>15</v>
      </c>
      <c r="B198" s="620" t="s">
        <v>1215</v>
      </c>
      <c r="C198" s="470" t="s">
        <v>835</v>
      </c>
      <c r="D198" s="630">
        <v>124</v>
      </c>
      <c r="E198" s="119">
        <v>133</v>
      </c>
      <c r="F198" s="606">
        <v>567</v>
      </c>
      <c r="G198" s="608">
        <v>500</v>
      </c>
      <c r="H198" s="470"/>
      <c r="I198" s="470"/>
    </row>
    <row r="199" spans="1:9" ht="15.75" customHeight="1">
      <c r="A199" s="586" t="s">
        <v>15</v>
      </c>
      <c r="B199" s="620" t="s">
        <v>1216</v>
      </c>
      <c r="C199" s="470" t="s">
        <v>836</v>
      </c>
      <c r="D199" s="630">
        <v>3</v>
      </c>
      <c r="E199" s="119">
        <v>2</v>
      </c>
      <c r="F199" s="606">
        <v>0</v>
      </c>
      <c r="G199" s="608">
        <v>0</v>
      </c>
      <c r="H199" s="470"/>
      <c r="I199" s="470"/>
    </row>
    <row r="200" spans="1:9" ht="15.75" customHeight="1">
      <c r="A200" s="586" t="s">
        <v>15</v>
      </c>
      <c r="B200" s="620" t="s">
        <v>1217</v>
      </c>
      <c r="C200" s="470" t="s">
        <v>837</v>
      </c>
      <c r="D200" s="630">
        <v>1</v>
      </c>
      <c r="E200" s="119">
        <v>1</v>
      </c>
      <c r="F200" s="606">
        <v>0</v>
      </c>
      <c r="G200" s="608">
        <v>0</v>
      </c>
      <c r="H200" s="470"/>
      <c r="I200" s="470"/>
    </row>
    <row r="201" spans="1:9" ht="15.75" customHeight="1">
      <c r="A201" s="586" t="s">
        <v>15</v>
      </c>
      <c r="B201" s="620" t="s">
        <v>1218</v>
      </c>
      <c r="C201" s="470" t="s">
        <v>838</v>
      </c>
      <c r="D201" s="630">
        <v>2878</v>
      </c>
      <c r="E201" s="119">
        <v>2047</v>
      </c>
      <c r="F201" s="606">
        <v>3018</v>
      </c>
      <c r="G201" s="608">
        <v>2062</v>
      </c>
      <c r="H201" s="470"/>
      <c r="I201" s="470"/>
    </row>
    <row r="202" spans="1:9" ht="15.75" customHeight="1">
      <c r="A202" s="586" t="s">
        <v>15</v>
      </c>
      <c r="B202" s="620" t="s">
        <v>1219</v>
      </c>
      <c r="C202" s="470" t="s">
        <v>839</v>
      </c>
      <c r="D202" s="630">
        <v>3</v>
      </c>
      <c r="E202" s="119">
        <v>1</v>
      </c>
      <c r="F202" s="606">
        <v>9</v>
      </c>
      <c r="G202" s="608">
        <v>5</v>
      </c>
      <c r="H202" s="470"/>
      <c r="I202" s="470"/>
    </row>
    <row r="203" spans="1:9" ht="15.75" customHeight="1">
      <c r="A203" s="586" t="s">
        <v>15</v>
      </c>
      <c r="B203" s="620" t="s">
        <v>1220</v>
      </c>
      <c r="C203" s="470" t="s">
        <v>840</v>
      </c>
      <c r="D203" s="630">
        <v>5</v>
      </c>
      <c r="E203" s="119">
        <v>5</v>
      </c>
      <c r="F203" s="606">
        <v>1</v>
      </c>
      <c r="G203" s="608">
        <v>0</v>
      </c>
      <c r="H203" s="470"/>
      <c r="I203" s="470"/>
    </row>
    <row r="204" spans="1:9" ht="15.75" customHeight="1">
      <c r="A204" s="586" t="s">
        <v>15</v>
      </c>
      <c r="B204" s="620" t="s">
        <v>1221</v>
      </c>
      <c r="C204" s="470" t="s">
        <v>841</v>
      </c>
      <c r="D204" s="630">
        <v>130</v>
      </c>
      <c r="E204" s="119">
        <v>109</v>
      </c>
      <c r="F204" s="606">
        <v>32</v>
      </c>
      <c r="G204" s="608">
        <v>46</v>
      </c>
      <c r="H204" s="470"/>
      <c r="I204" s="470"/>
    </row>
    <row r="205" spans="1:9" ht="15.75" customHeight="1">
      <c r="A205" s="586" t="s">
        <v>15</v>
      </c>
      <c r="B205" s="620" t="s">
        <v>1222</v>
      </c>
      <c r="C205" s="470" t="s">
        <v>842</v>
      </c>
      <c r="D205" s="630">
        <v>2</v>
      </c>
      <c r="E205" s="119">
        <v>3</v>
      </c>
      <c r="F205" s="606">
        <v>2</v>
      </c>
      <c r="G205" s="608">
        <v>1</v>
      </c>
      <c r="H205" s="470"/>
      <c r="I205" s="470"/>
    </row>
    <row r="206" spans="1:9" ht="15.75" customHeight="1">
      <c r="A206" s="586" t="s">
        <v>15</v>
      </c>
      <c r="B206" s="620" t="s">
        <v>1223</v>
      </c>
      <c r="C206" s="470" t="s">
        <v>843</v>
      </c>
      <c r="D206" s="630">
        <v>48</v>
      </c>
      <c r="E206" s="119">
        <v>21</v>
      </c>
      <c r="F206" s="606">
        <v>53</v>
      </c>
      <c r="G206" s="608">
        <v>19</v>
      </c>
      <c r="H206" s="470"/>
      <c r="I206" s="470"/>
    </row>
    <row r="207" spans="1:9" ht="15.75" customHeight="1">
      <c r="A207" s="586" t="s">
        <v>15</v>
      </c>
      <c r="B207" s="620" t="s">
        <v>1224</v>
      </c>
      <c r="C207" s="470" t="s">
        <v>844</v>
      </c>
      <c r="D207" s="630">
        <v>463</v>
      </c>
      <c r="E207" s="119">
        <v>348</v>
      </c>
      <c r="F207" s="606">
        <v>467</v>
      </c>
      <c r="G207" s="608">
        <v>322</v>
      </c>
      <c r="H207" s="470"/>
      <c r="I207" s="470"/>
    </row>
    <row r="208" spans="1:9" ht="15.75" customHeight="1">
      <c r="A208" s="586" t="s">
        <v>15</v>
      </c>
      <c r="B208" s="620" t="s">
        <v>1225</v>
      </c>
      <c r="C208" s="470" t="s">
        <v>845</v>
      </c>
      <c r="D208" s="630">
        <v>10</v>
      </c>
      <c r="E208" s="119">
        <v>9</v>
      </c>
      <c r="F208" s="606">
        <v>108</v>
      </c>
      <c r="G208" s="608">
        <v>71</v>
      </c>
      <c r="H208" s="138"/>
      <c r="I208" s="470"/>
    </row>
    <row r="209" spans="1:9" ht="15.75" customHeight="1">
      <c r="A209" s="586" t="s">
        <v>15</v>
      </c>
      <c r="B209" s="620" t="s">
        <v>1226</v>
      </c>
      <c r="C209" s="470" t="s">
        <v>846</v>
      </c>
      <c r="D209" s="630">
        <v>718</v>
      </c>
      <c r="E209" s="119">
        <v>704</v>
      </c>
      <c r="F209" s="606">
        <v>738</v>
      </c>
      <c r="G209" s="609">
        <v>724</v>
      </c>
      <c r="H209" s="138"/>
      <c r="I209" s="470"/>
    </row>
    <row r="210" spans="1:9" ht="15.75" customHeight="1">
      <c r="A210" s="586" t="s">
        <v>15</v>
      </c>
      <c r="B210" s="620" t="s">
        <v>1227</v>
      </c>
      <c r="C210" s="470" t="s">
        <v>847</v>
      </c>
      <c r="D210" s="630">
        <v>2255</v>
      </c>
      <c r="E210" s="119">
        <v>1509</v>
      </c>
      <c r="F210" s="606">
        <v>2282</v>
      </c>
      <c r="G210" s="609">
        <v>1524</v>
      </c>
      <c r="H210" s="138"/>
      <c r="I210" s="470"/>
    </row>
    <row r="211" spans="1:9" ht="15.75" customHeight="1">
      <c r="A211" s="586" t="s">
        <v>15</v>
      </c>
      <c r="B211" s="620" t="s">
        <v>1228</v>
      </c>
      <c r="C211" s="470" t="s">
        <v>848</v>
      </c>
      <c r="D211" s="630">
        <v>3</v>
      </c>
      <c r="E211" s="119">
        <v>1</v>
      </c>
      <c r="F211" s="606">
        <v>28</v>
      </c>
      <c r="G211" s="609">
        <v>37</v>
      </c>
      <c r="H211" s="470"/>
      <c r="I211" s="470"/>
    </row>
    <row r="212" spans="1:9" ht="15.75" customHeight="1">
      <c r="A212" s="586" t="s">
        <v>15</v>
      </c>
      <c r="B212" s="620" t="s">
        <v>1229</v>
      </c>
      <c r="C212" s="470" t="s">
        <v>849</v>
      </c>
      <c r="D212" s="630">
        <v>0</v>
      </c>
      <c r="E212" s="119">
        <v>0</v>
      </c>
      <c r="F212" s="606">
        <v>4</v>
      </c>
      <c r="G212" s="608">
        <v>2</v>
      </c>
      <c r="H212" s="470"/>
      <c r="I212" s="470"/>
    </row>
    <row r="213" spans="1:9" ht="15.75" customHeight="1">
      <c r="A213" s="586" t="s">
        <v>15</v>
      </c>
      <c r="B213" s="620" t="s">
        <v>1230</v>
      </c>
      <c r="C213" s="470" t="s">
        <v>850</v>
      </c>
      <c r="D213" s="630">
        <v>0</v>
      </c>
      <c r="E213" s="119">
        <v>0</v>
      </c>
      <c r="F213" s="606">
        <v>0</v>
      </c>
      <c r="G213" s="608">
        <v>0</v>
      </c>
      <c r="H213" s="470"/>
      <c r="I213" s="470"/>
    </row>
    <row r="214" spans="1:9" ht="15.75" customHeight="1">
      <c r="A214" s="586" t="s">
        <v>15</v>
      </c>
      <c r="B214" s="620" t="s">
        <v>1231</v>
      </c>
      <c r="C214" s="470" t="s">
        <v>851</v>
      </c>
      <c r="D214" s="630">
        <v>922</v>
      </c>
      <c r="E214" s="119">
        <v>779</v>
      </c>
      <c r="F214" s="606">
        <v>1056</v>
      </c>
      <c r="G214" s="608">
        <v>864</v>
      </c>
      <c r="H214" s="470"/>
      <c r="I214" s="470"/>
    </row>
    <row r="215" spans="1:9" ht="15.75" customHeight="1">
      <c r="A215" s="586" t="s">
        <v>15</v>
      </c>
      <c r="B215" s="620" t="s">
        <v>1232</v>
      </c>
      <c r="C215" s="470" t="s">
        <v>852</v>
      </c>
      <c r="D215" s="630">
        <v>21</v>
      </c>
      <c r="E215" s="119">
        <v>45</v>
      </c>
      <c r="F215" s="606">
        <v>138</v>
      </c>
      <c r="G215" s="608">
        <v>253</v>
      </c>
      <c r="H215" s="138"/>
      <c r="I215" s="470"/>
    </row>
    <row r="216" spans="1:9" ht="15.75" customHeight="1">
      <c r="A216" s="586" t="s">
        <v>15</v>
      </c>
      <c r="B216" s="620" t="s">
        <v>1233</v>
      </c>
      <c r="C216" s="470" t="s">
        <v>853</v>
      </c>
      <c r="D216" s="630">
        <v>476</v>
      </c>
      <c r="E216" s="119">
        <v>388</v>
      </c>
      <c r="F216" s="606">
        <v>456</v>
      </c>
      <c r="G216" s="609">
        <v>356</v>
      </c>
      <c r="H216" s="138"/>
      <c r="I216" s="470"/>
    </row>
    <row r="217" spans="1:9" ht="15.75" customHeight="1">
      <c r="A217" s="586" t="s">
        <v>15</v>
      </c>
      <c r="B217" s="620" t="s">
        <v>1234</v>
      </c>
      <c r="C217" s="470" t="s">
        <v>854</v>
      </c>
      <c r="D217" s="630">
        <v>118</v>
      </c>
      <c r="E217" s="119">
        <v>252</v>
      </c>
      <c r="F217" s="606">
        <v>139</v>
      </c>
      <c r="G217" s="609">
        <v>297</v>
      </c>
      <c r="H217" s="138"/>
      <c r="I217" s="470"/>
    </row>
    <row r="218" spans="1:9" ht="15.75" customHeight="1">
      <c r="A218" s="586" t="s">
        <v>15</v>
      </c>
      <c r="B218" s="620" t="s">
        <v>1235</v>
      </c>
      <c r="C218" s="470" t="s">
        <v>855</v>
      </c>
      <c r="D218" s="630">
        <v>1513</v>
      </c>
      <c r="E218" s="119">
        <v>999</v>
      </c>
      <c r="F218" s="606">
        <v>1634</v>
      </c>
      <c r="G218" s="609">
        <v>1109</v>
      </c>
      <c r="H218" s="138"/>
      <c r="I218" s="470"/>
    </row>
    <row r="219" spans="1:9" ht="15.75" customHeight="1">
      <c r="A219" s="586" t="s">
        <v>15</v>
      </c>
      <c r="B219" s="620" t="s">
        <v>1236</v>
      </c>
      <c r="C219" s="470" t="s">
        <v>856</v>
      </c>
      <c r="D219" s="630">
        <v>43</v>
      </c>
      <c r="E219" s="119">
        <v>44</v>
      </c>
      <c r="F219" s="606">
        <v>0</v>
      </c>
      <c r="G219" s="609">
        <v>0</v>
      </c>
      <c r="H219" s="138"/>
      <c r="I219" s="470"/>
    </row>
    <row r="220" spans="1:9" ht="15.75" customHeight="1">
      <c r="A220" s="586" t="s">
        <v>15</v>
      </c>
      <c r="B220" s="620" t="s">
        <v>1237</v>
      </c>
      <c r="C220" s="470" t="s">
        <v>857</v>
      </c>
      <c r="D220" s="630">
        <v>0</v>
      </c>
      <c r="E220" s="119">
        <v>0</v>
      </c>
      <c r="F220" s="606">
        <v>18</v>
      </c>
      <c r="G220" s="609">
        <v>18</v>
      </c>
      <c r="H220" s="470"/>
      <c r="I220" s="470"/>
    </row>
    <row r="221" spans="1:9" ht="15.75" customHeight="1">
      <c r="A221" s="586" t="s">
        <v>15</v>
      </c>
      <c r="B221" s="620" t="s">
        <v>1238</v>
      </c>
      <c r="C221" s="470" t="s">
        <v>858</v>
      </c>
      <c r="D221" s="630">
        <v>1</v>
      </c>
      <c r="E221" s="119">
        <v>0</v>
      </c>
      <c r="F221" s="606">
        <v>5</v>
      </c>
      <c r="G221" s="608">
        <v>1</v>
      </c>
      <c r="H221" s="470"/>
      <c r="I221" s="470"/>
    </row>
    <row r="222" spans="1:9" ht="15.75" customHeight="1">
      <c r="A222" s="586" t="s">
        <v>15</v>
      </c>
      <c r="B222" s="620" t="s">
        <v>1239</v>
      </c>
      <c r="C222" s="470" t="s">
        <v>859</v>
      </c>
      <c r="D222" s="630">
        <v>417</v>
      </c>
      <c r="E222" s="119">
        <v>386</v>
      </c>
      <c r="F222" s="606">
        <v>652</v>
      </c>
      <c r="G222" s="613">
        <v>577</v>
      </c>
      <c r="H222" s="594"/>
      <c r="I222" s="470"/>
    </row>
    <row r="223" spans="1:9" ht="15.75" customHeight="1">
      <c r="A223" s="586" t="s">
        <v>15</v>
      </c>
      <c r="B223" s="620" t="s">
        <v>1240</v>
      </c>
      <c r="C223" s="470" t="s">
        <v>860</v>
      </c>
      <c r="D223" s="630">
        <v>0</v>
      </c>
      <c r="E223" s="119">
        <v>0</v>
      </c>
      <c r="F223" s="606">
        <v>5</v>
      </c>
      <c r="G223" s="613">
        <v>2</v>
      </c>
      <c r="H223" s="594"/>
      <c r="I223" s="470"/>
    </row>
    <row r="224" spans="1:9" ht="15.75" customHeight="1">
      <c r="A224" s="586" t="s">
        <v>15</v>
      </c>
      <c r="B224" s="620" t="s">
        <v>1241</v>
      </c>
      <c r="C224" s="470" t="s">
        <v>861</v>
      </c>
      <c r="D224" s="630">
        <v>2</v>
      </c>
      <c r="E224" s="119">
        <v>2</v>
      </c>
      <c r="F224" s="606">
        <v>1</v>
      </c>
      <c r="G224" s="613">
        <v>2</v>
      </c>
      <c r="H224" s="594"/>
      <c r="I224" s="470"/>
    </row>
    <row r="225" spans="1:9" ht="15.75" customHeight="1">
      <c r="A225" s="586" t="s">
        <v>15</v>
      </c>
      <c r="B225" s="620" t="s">
        <v>1242</v>
      </c>
      <c r="C225" s="470" t="s">
        <v>862</v>
      </c>
      <c r="D225" s="630">
        <v>9</v>
      </c>
      <c r="E225" s="119">
        <v>5</v>
      </c>
      <c r="F225" s="606">
        <v>7</v>
      </c>
      <c r="G225" s="609">
        <v>3</v>
      </c>
      <c r="H225" s="470"/>
      <c r="I225" s="470"/>
    </row>
    <row r="226" spans="1:9" ht="15.75" customHeight="1">
      <c r="A226" s="586" t="s">
        <v>15</v>
      </c>
      <c r="B226" s="620" t="s">
        <v>1243</v>
      </c>
      <c r="C226" s="470" t="s">
        <v>863</v>
      </c>
      <c r="D226" s="630">
        <v>291</v>
      </c>
      <c r="E226" s="119">
        <v>239</v>
      </c>
      <c r="F226" s="606">
        <v>285</v>
      </c>
      <c r="G226" s="608">
        <v>238</v>
      </c>
      <c r="H226" s="470"/>
      <c r="I226" s="470"/>
    </row>
    <row r="227" spans="1:9" ht="15.75" customHeight="1">
      <c r="A227" s="586" t="s">
        <v>15</v>
      </c>
      <c r="B227" s="620" t="s">
        <v>1244</v>
      </c>
      <c r="C227" s="470" t="s">
        <v>864</v>
      </c>
      <c r="D227" s="630">
        <v>4</v>
      </c>
      <c r="E227" s="119">
        <v>7</v>
      </c>
      <c r="F227" s="606">
        <v>2</v>
      </c>
      <c r="G227" s="608">
        <v>3</v>
      </c>
      <c r="H227" s="470"/>
      <c r="I227" s="470"/>
    </row>
    <row r="228" spans="1:9" ht="15.75" customHeight="1">
      <c r="A228" s="586" t="s">
        <v>15</v>
      </c>
      <c r="B228" s="620" t="s">
        <v>1245</v>
      </c>
      <c r="C228" s="470" t="s">
        <v>865</v>
      </c>
      <c r="D228" s="630">
        <v>449</v>
      </c>
      <c r="E228" s="119">
        <v>402</v>
      </c>
      <c r="F228" s="606">
        <v>532</v>
      </c>
      <c r="G228" s="608">
        <v>504</v>
      </c>
      <c r="H228" s="470"/>
      <c r="I228" s="470"/>
    </row>
    <row r="229" spans="1:9" ht="15.75" customHeight="1">
      <c r="A229" s="586" t="s">
        <v>15</v>
      </c>
      <c r="B229" s="620" t="s">
        <v>1246</v>
      </c>
      <c r="C229" s="470" t="s">
        <v>866</v>
      </c>
      <c r="D229" s="630">
        <v>20</v>
      </c>
      <c r="E229" s="119">
        <v>21</v>
      </c>
      <c r="F229" s="606">
        <v>0</v>
      </c>
      <c r="G229" s="608">
        <v>0</v>
      </c>
      <c r="H229" s="470"/>
      <c r="I229" s="470"/>
    </row>
    <row r="230" spans="1:9" ht="15.75" customHeight="1">
      <c r="A230" s="586" t="s">
        <v>15</v>
      </c>
      <c r="B230" s="620" t="s">
        <v>1223</v>
      </c>
      <c r="C230" s="470" t="s">
        <v>867</v>
      </c>
      <c r="D230" s="630">
        <v>273</v>
      </c>
      <c r="E230" s="119">
        <v>235</v>
      </c>
      <c r="F230" s="606">
        <v>373</v>
      </c>
      <c r="G230" s="608">
        <v>332</v>
      </c>
      <c r="H230" s="470"/>
      <c r="I230" s="470"/>
    </row>
    <row r="231" spans="1:9" ht="15.75" customHeight="1">
      <c r="A231" s="586" t="s">
        <v>15</v>
      </c>
      <c r="B231" s="620" t="s">
        <v>1247</v>
      </c>
      <c r="C231" s="470" t="s">
        <v>868</v>
      </c>
      <c r="D231" s="630">
        <v>5</v>
      </c>
      <c r="E231" s="119">
        <v>4</v>
      </c>
      <c r="F231" s="606">
        <v>4</v>
      </c>
      <c r="G231" s="608">
        <v>2</v>
      </c>
      <c r="H231" s="470"/>
      <c r="I231" s="470"/>
    </row>
    <row r="232" spans="1:9" ht="15.75" customHeight="1">
      <c r="A232" s="586" t="s">
        <v>15</v>
      </c>
      <c r="B232" s="620" t="s">
        <v>1243</v>
      </c>
      <c r="C232" s="470" t="s">
        <v>869</v>
      </c>
      <c r="D232" s="630">
        <v>1512</v>
      </c>
      <c r="E232" s="119">
        <v>1300</v>
      </c>
      <c r="F232" s="606">
        <v>3</v>
      </c>
      <c r="G232" s="608">
        <v>4</v>
      </c>
      <c r="H232" s="470"/>
      <c r="I232" s="470"/>
    </row>
    <row r="233" spans="1:9" ht="15.75" customHeight="1">
      <c r="A233" s="586" t="s">
        <v>15</v>
      </c>
      <c r="B233" s="620" t="s">
        <v>1248</v>
      </c>
      <c r="C233" s="470" t="s">
        <v>870</v>
      </c>
      <c r="D233" s="630">
        <v>53</v>
      </c>
      <c r="E233" s="119">
        <v>41</v>
      </c>
      <c r="F233" s="606">
        <v>70</v>
      </c>
      <c r="G233" s="608">
        <v>65</v>
      </c>
      <c r="H233" s="470"/>
      <c r="I233" s="470"/>
    </row>
    <row r="234" spans="1:9" ht="15.75" customHeight="1">
      <c r="A234" s="586" t="s">
        <v>15</v>
      </c>
      <c r="B234" s="620" t="s">
        <v>1236</v>
      </c>
      <c r="C234" s="470" t="s">
        <v>871</v>
      </c>
      <c r="D234" s="630">
        <v>589</v>
      </c>
      <c r="E234" s="119">
        <v>514</v>
      </c>
      <c r="F234" s="606">
        <v>639</v>
      </c>
      <c r="G234" s="608">
        <v>531</v>
      </c>
      <c r="H234" s="470"/>
      <c r="I234" s="470"/>
    </row>
    <row r="235" spans="1:9" ht="15.75" customHeight="1">
      <c r="A235" s="586" t="s">
        <v>15</v>
      </c>
      <c r="B235" s="620" t="s">
        <v>1249</v>
      </c>
      <c r="C235" s="470" t="s">
        <v>872</v>
      </c>
      <c r="D235" s="630">
        <v>1768</v>
      </c>
      <c r="E235" s="119">
        <v>1595</v>
      </c>
      <c r="F235" s="606">
        <v>2108</v>
      </c>
      <c r="G235" s="608">
        <v>1931</v>
      </c>
      <c r="H235" s="470"/>
      <c r="I235" s="470"/>
    </row>
    <row r="236" spans="1:9" ht="15.75" customHeight="1">
      <c r="A236" s="586" t="s">
        <v>15</v>
      </c>
      <c r="B236" s="620" t="s">
        <v>1250</v>
      </c>
      <c r="C236" s="470" t="s">
        <v>873</v>
      </c>
      <c r="D236" s="630">
        <v>11</v>
      </c>
      <c r="E236" s="119">
        <v>6</v>
      </c>
      <c r="F236" s="606">
        <v>2</v>
      </c>
      <c r="G236" s="608">
        <v>1</v>
      </c>
      <c r="H236" s="470"/>
      <c r="I236" s="470"/>
    </row>
    <row r="237" spans="1:9" ht="15.75" customHeight="1">
      <c r="A237" s="586" t="s">
        <v>15</v>
      </c>
      <c r="B237" s="620" t="s">
        <v>1234</v>
      </c>
      <c r="C237" s="470" t="s">
        <v>874</v>
      </c>
      <c r="D237" s="630">
        <v>0</v>
      </c>
      <c r="E237" s="119">
        <v>0</v>
      </c>
      <c r="F237" s="606">
        <v>0</v>
      </c>
      <c r="G237" s="608">
        <v>0</v>
      </c>
      <c r="H237" s="470"/>
      <c r="I237" s="470"/>
    </row>
    <row r="238" spans="1:9" ht="15.75" customHeight="1">
      <c r="A238" s="586" t="s">
        <v>15</v>
      </c>
      <c r="B238" s="620" t="s">
        <v>1251</v>
      </c>
      <c r="C238" s="470" t="s">
        <v>875</v>
      </c>
      <c r="D238" s="630">
        <v>195</v>
      </c>
      <c r="E238" s="119">
        <v>254</v>
      </c>
      <c r="F238" s="606">
        <v>178</v>
      </c>
      <c r="G238" s="608">
        <v>281</v>
      </c>
      <c r="H238" s="470"/>
      <c r="I238" s="470"/>
    </row>
    <row r="239" spans="1:9" ht="15.75" customHeight="1">
      <c r="A239" s="586" t="s">
        <v>15</v>
      </c>
      <c r="B239" s="620" t="s">
        <v>1252</v>
      </c>
      <c r="C239" s="470" t="s">
        <v>876</v>
      </c>
      <c r="D239" s="630">
        <v>0</v>
      </c>
      <c r="E239" s="119">
        <v>0</v>
      </c>
      <c r="F239" s="606">
        <v>4</v>
      </c>
      <c r="G239" s="608">
        <v>3</v>
      </c>
      <c r="H239" s="470"/>
      <c r="I239" s="470"/>
    </row>
    <row r="240" spans="1:9" ht="15.75" customHeight="1">
      <c r="A240" s="586" t="s">
        <v>15</v>
      </c>
      <c r="B240" s="620" t="s">
        <v>1243</v>
      </c>
      <c r="C240" s="470" t="s">
        <v>877</v>
      </c>
      <c r="D240" s="630">
        <v>481</v>
      </c>
      <c r="E240" s="119">
        <v>380</v>
      </c>
      <c r="F240" s="606">
        <v>355</v>
      </c>
      <c r="G240" s="608">
        <v>298</v>
      </c>
      <c r="H240" s="470"/>
      <c r="I240" s="470"/>
    </row>
    <row r="241" spans="1:9" ht="15.75" customHeight="1">
      <c r="A241" s="586" t="s">
        <v>15</v>
      </c>
      <c r="B241" s="620" t="s">
        <v>1253</v>
      </c>
      <c r="C241" s="470" t="s">
        <v>878</v>
      </c>
      <c r="D241" s="630">
        <v>0</v>
      </c>
      <c r="E241" s="119">
        <v>0</v>
      </c>
      <c r="F241" s="606">
        <v>2</v>
      </c>
      <c r="G241" s="608">
        <v>1</v>
      </c>
      <c r="H241" s="470"/>
      <c r="I241" s="470"/>
    </row>
    <row r="242" spans="1:9" ht="15.75" customHeight="1">
      <c r="A242" s="586" t="s">
        <v>15</v>
      </c>
      <c r="B242" s="620" t="s">
        <v>1225</v>
      </c>
      <c r="C242" s="470" t="s">
        <v>879</v>
      </c>
      <c r="D242" s="630">
        <v>2</v>
      </c>
      <c r="E242" s="119">
        <v>2</v>
      </c>
      <c r="F242" s="606">
        <v>4</v>
      </c>
      <c r="G242" s="608">
        <v>1</v>
      </c>
      <c r="H242" s="470"/>
      <c r="I242" s="470"/>
    </row>
    <row r="243" spans="1:9" ht="15.75" customHeight="1">
      <c r="A243" s="586" t="s">
        <v>15</v>
      </c>
      <c r="B243" s="620" t="s">
        <v>304</v>
      </c>
      <c r="C243" s="470" t="s">
        <v>880</v>
      </c>
      <c r="D243" s="630">
        <v>0</v>
      </c>
      <c r="E243" s="119">
        <v>0</v>
      </c>
      <c r="F243" s="614">
        <v>7</v>
      </c>
      <c r="G243" s="608">
        <v>2</v>
      </c>
      <c r="H243" s="470"/>
      <c r="I243" s="470"/>
    </row>
    <row r="244" spans="1:9" ht="15.75" customHeight="1">
      <c r="A244" s="586" t="s">
        <v>15</v>
      </c>
      <c r="B244" s="620" t="s">
        <v>1187</v>
      </c>
      <c r="C244" s="470" t="s">
        <v>802</v>
      </c>
      <c r="D244" s="630">
        <v>0</v>
      </c>
      <c r="E244" s="119">
        <v>0</v>
      </c>
      <c r="F244" s="606">
        <v>0</v>
      </c>
      <c r="G244" s="608">
        <v>0</v>
      </c>
      <c r="H244" s="470"/>
      <c r="I244" s="470"/>
    </row>
    <row r="245" spans="1:9" ht="15.75" customHeight="1">
      <c r="A245" s="586" t="s">
        <v>15</v>
      </c>
      <c r="B245" s="620" t="s">
        <v>1313</v>
      </c>
      <c r="C245" s="470" t="s">
        <v>881</v>
      </c>
      <c r="D245" s="630">
        <v>6</v>
      </c>
      <c r="E245" s="119">
        <v>7</v>
      </c>
      <c r="F245" s="606">
        <v>10</v>
      </c>
      <c r="G245" s="608">
        <v>14</v>
      </c>
      <c r="H245" s="470"/>
      <c r="I245" s="470"/>
    </row>
    <row r="246" spans="1:9" ht="15.75" customHeight="1">
      <c r="A246" s="586" t="s">
        <v>15</v>
      </c>
      <c r="B246" s="620" t="s">
        <v>1314</v>
      </c>
      <c r="C246" s="470" t="s">
        <v>882</v>
      </c>
      <c r="D246" s="630">
        <v>2</v>
      </c>
      <c r="E246" s="119">
        <v>2</v>
      </c>
      <c r="F246" s="606">
        <v>4</v>
      </c>
      <c r="G246" s="608">
        <v>1</v>
      </c>
      <c r="H246" s="470"/>
      <c r="I246" s="470"/>
    </row>
    <row r="247" spans="1:9" ht="15.75" customHeight="1">
      <c r="A247" s="586" t="s">
        <v>15</v>
      </c>
      <c r="B247" s="620" t="s">
        <v>1255</v>
      </c>
      <c r="C247" s="470" t="s">
        <v>883</v>
      </c>
      <c r="D247" s="630">
        <v>263</v>
      </c>
      <c r="E247" s="119">
        <v>175</v>
      </c>
      <c r="F247" s="606">
        <v>284</v>
      </c>
      <c r="G247" s="608">
        <v>191</v>
      </c>
      <c r="H247" s="470"/>
      <c r="I247" s="470"/>
    </row>
    <row r="248" spans="1:9" ht="15.75" customHeight="1">
      <c r="A248" s="586" t="s">
        <v>15</v>
      </c>
      <c r="B248" s="620" t="s">
        <v>1256</v>
      </c>
      <c r="C248" s="470" t="s">
        <v>884</v>
      </c>
      <c r="D248" s="630">
        <v>1</v>
      </c>
      <c r="E248" s="119">
        <v>1</v>
      </c>
      <c r="F248" s="606">
        <v>1</v>
      </c>
      <c r="G248" s="608">
        <v>1</v>
      </c>
      <c r="H248" s="138"/>
      <c r="I248" s="470"/>
    </row>
    <row r="249" spans="1:9" ht="15.75" customHeight="1">
      <c r="A249" s="586" t="s">
        <v>15</v>
      </c>
      <c r="B249" s="620" t="s">
        <v>1257</v>
      </c>
      <c r="C249" s="470" t="s">
        <v>885</v>
      </c>
      <c r="D249" s="630">
        <v>0</v>
      </c>
      <c r="E249" s="119">
        <v>0</v>
      </c>
      <c r="F249" s="606">
        <v>1</v>
      </c>
      <c r="G249" s="609">
        <v>1</v>
      </c>
      <c r="H249" s="594"/>
      <c r="I249" s="470"/>
    </row>
    <row r="250" spans="1:9" ht="15.75" customHeight="1">
      <c r="A250" s="586" t="s">
        <v>15</v>
      </c>
      <c r="B250" s="620" t="s">
        <v>294</v>
      </c>
      <c r="C250" s="470" t="s">
        <v>886</v>
      </c>
      <c r="D250" s="630">
        <v>6</v>
      </c>
      <c r="E250" s="119">
        <v>3</v>
      </c>
      <c r="F250" s="606">
        <v>32</v>
      </c>
      <c r="G250" s="613">
        <v>27</v>
      </c>
      <c r="H250" s="594"/>
      <c r="I250" s="470"/>
    </row>
    <row r="251" spans="1:9" ht="15.75" customHeight="1">
      <c r="A251" s="586" t="s">
        <v>15</v>
      </c>
      <c r="B251" s="620" t="s">
        <v>1258</v>
      </c>
      <c r="C251" s="470" t="s">
        <v>887</v>
      </c>
      <c r="D251" s="630">
        <v>8</v>
      </c>
      <c r="E251" s="119">
        <v>7</v>
      </c>
      <c r="F251" s="606">
        <v>0</v>
      </c>
      <c r="G251" s="613">
        <v>0</v>
      </c>
      <c r="H251" s="594"/>
      <c r="I251" s="470"/>
    </row>
    <row r="252" spans="1:9" ht="15.75" customHeight="1">
      <c r="A252" s="586" t="s">
        <v>15</v>
      </c>
      <c r="B252" s="620" t="s">
        <v>1259</v>
      </c>
      <c r="C252" s="470" t="s">
        <v>888</v>
      </c>
      <c r="D252" s="630">
        <v>5</v>
      </c>
      <c r="E252" s="119">
        <v>4</v>
      </c>
      <c r="F252" s="606">
        <v>10</v>
      </c>
      <c r="G252" s="613">
        <v>10</v>
      </c>
      <c r="H252" s="594"/>
      <c r="I252" s="470"/>
    </row>
    <row r="253" spans="1:9" ht="15.75" customHeight="1">
      <c r="A253" s="586" t="s">
        <v>15</v>
      </c>
      <c r="B253" s="620" t="s">
        <v>1260</v>
      </c>
      <c r="C253" s="470" t="s">
        <v>889</v>
      </c>
      <c r="D253" s="630">
        <v>0</v>
      </c>
      <c r="E253" s="119">
        <v>0</v>
      </c>
      <c r="F253" s="606">
        <v>4</v>
      </c>
      <c r="G253" s="613">
        <v>3</v>
      </c>
      <c r="H253" s="594"/>
      <c r="I253" s="470"/>
    </row>
    <row r="254" spans="1:9" ht="15.75" customHeight="1">
      <c r="A254" s="586" t="s">
        <v>15</v>
      </c>
      <c r="B254" s="620" t="s">
        <v>1261</v>
      </c>
      <c r="C254" s="470" t="s">
        <v>890</v>
      </c>
      <c r="D254" s="630">
        <v>1</v>
      </c>
      <c r="E254" s="119">
        <v>0</v>
      </c>
      <c r="F254" s="606">
        <v>1</v>
      </c>
      <c r="G254" s="613">
        <v>1</v>
      </c>
      <c r="H254" s="594"/>
      <c r="I254" s="470"/>
    </row>
    <row r="255" spans="1:9" ht="15.75" customHeight="1">
      <c r="A255" s="586" t="s">
        <v>15</v>
      </c>
      <c r="B255" s="620" t="s">
        <v>295</v>
      </c>
      <c r="C255" s="470" t="s">
        <v>891</v>
      </c>
      <c r="D255" s="630">
        <v>109</v>
      </c>
      <c r="E255" s="119">
        <v>87</v>
      </c>
      <c r="F255" s="606">
        <v>113</v>
      </c>
      <c r="G255" s="613">
        <v>101</v>
      </c>
      <c r="H255" s="594"/>
      <c r="I255" s="470"/>
    </row>
    <row r="256" spans="1:9" ht="15.75" customHeight="1">
      <c r="A256" s="586" t="s">
        <v>15</v>
      </c>
      <c r="B256" s="620" t="s">
        <v>1262</v>
      </c>
      <c r="C256" s="470" t="s">
        <v>892</v>
      </c>
      <c r="D256" s="630">
        <v>0</v>
      </c>
      <c r="E256" s="119">
        <v>0</v>
      </c>
      <c r="F256" s="606">
        <v>0</v>
      </c>
      <c r="G256" s="609">
        <v>0</v>
      </c>
      <c r="H256" s="138"/>
      <c r="I256" s="470"/>
    </row>
    <row r="257" spans="1:9" ht="15.75" customHeight="1">
      <c r="A257" s="586" t="s">
        <v>15</v>
      </c>
      <c r="B257" s="620" t="s">
        <v>1263</v>
      </c>
      <c r="C257" s="470" t="s">
        <v>893</v>
      </c>
      <c r="D257" s="630">
        <v>39</v>
      </c>
      <c r="E257" s="119">
        <v>60</v>
      </c>
      <c r="F257" s="606">
        <v>60</v>
      </c>
      <c r="G257" s="609">
        <v>116</v>
      </c>
      <c r="H257" s="594"/>
      <c r="I257" s="470"/>
    </row>
    <row r="258" spans="1:9" ht="15.75" customHeight="1">
      <c r="A258" s="586" t="s">
        <v>15</v>
      </c>
      <c r="B258" s="620" t="s">
        <v>1264</v>
      </c>
      <c r="C258" s="470" t="s">
        <v>894</v>
      </c>
      <c r="D258" s="630">
        <v>0</v>
      </c>
      <c r="E258" s="119">
        <v>0</v>
      </c>
      <c r="F258" s="606">
        <v>5</v>
      </c>
      <c r="G258" s="608">
        <v>2</v>
      </c>
      <c r="H258" s="594"/>
      <c r="I258" s="470"/>
    </row>
    <row r="259" spans="1:9" ht="15.75" customHeight="1">
      <c r="A259" s="586" t="s">
        <v>15</v>
      </c>
      <c r="B259" s="620" t="s">
        <v>1320</v>
      </c>
      <c r="C259" s="470" t="s">
        <v>895</v>
      </c>
      <c r="D259" s="630">
        <v>3</v>
      </c>
      <c r="E259" s="119">
        <v>1</v>
      </c>
      <c r="F259" s="606">
        <v>2</v>
      </c>
      <c r="G259" s="608">
        <v>1</v>
      </c>
      <c r="H259" s="594"/>
      <c r="I259" s="470"/>
    </row>
    <row r="260" spans="1:9" ht="15.75" customHeight="1">
      <c r="A260" s="586" t="s">
        <v>15</v>
      </c>
      <c r="B260" s="620" t="s">
        <v>1265</v>
      </c>
      <c r="C260" s="470" t="s">
        <v>896</v>
      </c>
      <c r="D260" s="630">
        <v>2</v>
      </c>
      <c r="E260" s="119">
        <v>3</v>
      </c>
      <c r="F260" s="606">
        <v>2</v>
      </c>
      <c r="G260" s="608">
        <v>3</v>
      </c>
      <c r="H260" s="594"/>
      <c r="I260" s="470"/>
    </row>
    <row r="261" spans="1:9" ht="15.75" customHeight="1">
      <c r="A261" s="586" t="s">
        <v>15</v>
      </c>
      <c r="B261" s="620" t="s">
        <v>1266</v>
      </c>
      <c r="C261" s="470" t="s">
        <v>897</v>
      </c>
      <c r="D261" s="630">
        <v>4</v>
      </c>
      <c r="E261" s="119">
        <v>3</v>
      </c>
      <c r="F261" s="606">
        <v>3</v>
      </c>
      <c r="G261" s="608">
        <v>2</v>
      </c>
      <c r="H261" s="594"/>
      <c r="I261" s="470"/>
    </row>
    <row r="262" spans="1:9" ht="15.75" customHeight="1">
      <c r="A262" s="586" t="s">
        <v>15</v>
      </c>
      <c r="B262" s="620" t="s">
        <v>1267</v>
      </c>
      <c r="C262" s="470" t="s">
        <v>898</v>
      </c>
      <c r="D262" s="630">
        <v>0</v>
      </c>
      <c r="E262" s="119">
        <v>0</v>
      </c>
      <c r="F262" s="606">
        <v>2</v>
      </c>
      <c r="G262" s="608">
        <v>0</v>
      </c>
      <c r="H262" s="594"/>
      <c r="I262" s="470"/>
    </row>
    <row r="263" spans="1:9" ht="15.75" customHeight="1">
      <c r="A263" s="586" t="s">
        <v>15</v>
      </c>
      <c r="B263" s="620" t="s">
        <v>1268</v>
      </c>
      <c r="C263" s="470" t="s">
        <v>899</v>
      </c>
      <c r="D263" s="630">
        <v>0</v>
      </c>
      <c r="E263" s="119">
        <v>0</v>
      </c>
      <c r="F263" s="606">
        <v>4</v>
      </c>
      <c r="G263" s="608">
        <v>5</v>
      </c>
      <c r="H263" s="594"/>
      <c r="I263" s="470"/>
    </row>
    <row r="264" spans="1:9" ht="15.75" customHeight="1">
      <c r="A264" s="586" t="s">
        <v>15</v>
      </c>
      <c r="B264" s="620" t="s">
        <v>1213</v>
      </c>
      <c r="C264" s="470" t="s">
        <v>900</v>
      </c>
      <c r="D264" s="630">
        <v>801</v>
      </c>
      <c r="E264" s="119">
        <v>733</v>
      </c>
      <c r="F264" s="606">
        <v>893</v>
      </c>
      <c r="G264" s="608">
        <v>792</v>
      </c>
      <c r="H264" s="594"/>
      <c r="I264" s="470"/>
    </row>
    <row r="265" spans="1:9" ht="15.75" customHeight="1">
      <c r="A265" s="586" t="s">
        <v>15</v>
      </c>
      <c r="B265" s="620" t="s">
        <v>1269</v>
      </c>
      <c r="C265" s="470" t="s">
        <v>901</v>
      </c>
      <c r="D265" s="630">
        <v>1</v>
      </c>
      <c r="E265" s="119">
        <v>1</v>
      </c>
      <c r="F265" s="606">
        <v>0</v>
      </c>
      <c r="G265" s="608">
        <v>0</v>
      </c>
      <c r="H265" s="470"/>
      <c r="I265" s="470"/>
    </row>
    <row r="266" spans="1:9" ht="15.75" customHeight="1">
      <c r="A266" s="586" t="s">
        <v>15</v>
      </c>
      <c r="B266" s="620" t="s">
        <v>1243</v>
      </c>
      <c r="C266" s="470" t="s">
        <v>902</v>
      </c>
      <c r="D266" s="630">
        <v>0</v>
      </c>
      <c r="E266" s="119">
        <v>0</v>
      </c>
      <c r="F266" s="606">
        <v>1197</v>
      </c>
      <c r="G266" s="613">
        <v>803</v>
      </c>
      <c r="H266" s="470"/>
      <c r="I266" s="470"/>
    </row>
    <row r="267" spans="1:9" ht="15.75" customHeight="1">
      <c r="A267" s="586" t="s">
        <v>15</v>
      </c>
      <c r="B267" s="620" t="s">
        <v>1243</v>
      </c>
      <c r="C267" s="470" t="s">
        <v>903</v>
      </c>
      <c r="D267" s="630">
        <v>731</v>
      </c>
      <c r="E267" s="119">
        <v>639</v>
      </c>
      <c r="F267" s="606">
        <v>701</v>
      </c>
      <c r="G267" s="608">
        <v>650</v>
      </c>
      <c r="H267" s="470"/>
      <c r="I267" s="470"/>
    </row>
    <row r="268" spans="1:9" ht="15.75" customHeight="1">
      <c r="A268" s="586" t="s">
        <v>15</v>
      </c>
      <c r="B268" s="620" t="s">
        <v>1270</v>
      </c>
      <c r="C268" s="470" t="s">
        <v>904</v>
      </c>
      <c r="D268" s="630">
        <v>1</v>
      </c>
      <c r="E268" s="119">
        <v>0</v>
      </c>
      <c r="F268" s="606">
        <v>2</v>
      </c>
      <c r="G268" s="608">
        <v>0</v>
      </c>
      <c r="H268" s="470"/>
      <c r="I268" s="470"/>
    </row>
    <row r="269" spans="1:9" ht="15.75" customHeight="1">
      <c r="A269" s="586" t="s">
        <v>15</v>
      </c>
      <c r="B269" s="620" t="s">
        <v>1271</v>
      </c>
      <c r="C269" s="470" t="s">
        <v>905</v>
      </c>
      <c r="D269" s="630">
        <v>0</v>
      </c>
      <c r="E269" s="119">
        <v>0</v>
      </c>
      <c r="F269" s="606">
        <v>0</v>
      </c>
      <c r="G269" s="608">
        <v>0</v>
      </c>
      <c r="H269" s="470"/>
      <c r="I269" s="470"/>
    </row>
    <row r="270" spans="1:9" ht="15.75" customHeight="1">
      <c r="A270" s="586" t="s">
        <v>15</v>
      </c>
      <c r="B270" s="620" t="s">
        <v>1217</v>
      </c>
      <c r="C270" s="470" t="s">
        <v>906</v>
      </c>
      <c r="D270" s="630">
        <v>15</v>
      </c>
      <c r="E270" s="119">
        <v>21</v>
      </c>
      <c r="F270" s="606">
        <v>0</v>
      </c>
      <c r="G270" s="608">
        <v>0</v>
      </c>
      <c r="H270" s="470"/>
      <c r="I270" s="470"/>
    </row>
    <row r="271" spans="1:9" ht="15.75" customHeight="1">
      <c r="A271" s="586" t="s">
        <v>15</v>
      </c>
      <c r="B271" s="620" t="s">
        <v>1272</v>
      </c>
      <c r="C271" s="470" t="s">
        <v>907</v>
      </c>
      <c r="D271" s="630">
        <v>267</v>
      </c>
      <c r="E271" s="119">
        <v>258</v>
      </c>
      <c r="F271" s="606">
        <v>358</v>
      </c>
      <c r="G271" s="608">
        <v>304</v>
      </c>
      <c r="H271" s="470"/>
      <c r="I271" s="470"/>
    </row>
    <row r="272" spans="1:9" ht="15.75" customHeight="1">
      <c r="A272" s="586" t="s">
        <v>15</v>
      </c>
      <c r="B272" s="620" t="s">
        <v>1273</v>
      </c>
      <c r="C272" s="470" t="s">
        <v>908</v>
      </c>
      <c r="D272" s="630">
        <v>0</v>
      </c>
      <c r="E272" s="119">
        <v>0</v>
      </c>
      <c r="F272" s="606">
        <v>7</v>
      </c>
      <c r="G272" s="608">
        <v>8</v>
      </c>
      <c r="H272" s="470"/>
      <c r="I272" s="470"/>
    </row>
    <row r="273" spans="1:9" ht="15.75" customHeight="1">
      <c r="A273" s="586" t="s">
        <v>15</v>
      </c>
      <c r="B273" s="620" t="s">
        <v>1274</v>
      </c>
      <c r="C273" s="470" t="s">
        <v>909</v>
      </c>
      <c r="D273" s="630">
        <v>329</v>
      </c>
      <c r="E273" s="119">
        <v>435</v>
      </c>
      <c r="F273" s="606">
        <v>690</v>
      </c>
      <c r="G273" s="608">
        <v>484</v>
      </c>
      <c r="H273" s="470"/>
      <c r="I273" s="470"/>
    </row>
    <row r="274" spans="1:9" ht="15.75" customHeight="1">
      <c r="A274" s="586" t="s">
        <v>15</v>
      </c>
      <c r="B274" s="620" t="s">
        <v>1275</v>
      </c>
      <c r="C274" s="470" t="s">
        <v>910</v>
      </c>
      <c r="D274" s="630">
        <v>8</v>
      </c>
      <c r="E274" s="119">
        <v>13</v>
      </c>
      <c r="F274" s="606">
        <v>0</v>
      </c>
      <c r="G274" s="608">
        <v>0</v>
      </c>
      <c r="H274" s="470"/>
      <c r="I274" s="470"/>
    </row>
    <row r="275" spans="1:9" ht="15.75" customHeight="1">
      <c r="A275" s="586" t="s">
        <v>15</v>
      </c>
      <c r="B275" s="620" t="s">
        <v>1276</v>
      </c>
      <c r="C275" s="470" t="s">
        <v>911</v>
      </c>
      <c r="D275" s="630">
        <v>0</v>
      </c>
      <c r="E275" s="119">
        <v>0</v>
      </c>
      <c r="F275" s="606">
        <v>0</v>
      </c>
      <c r="G275" s="608">
        <v>0</v>
      </c>
      <c r="H275" s="470"/>
      <c r="I275" s="470"/>
    </row>
    <row r="276" spans="1:9" ht="15.75" customHeight="1">
      <c r="A276" s="586" t="s">
        <v>15</v>
      </c>
      <c r="B276" s="620" t="s">
        <v>1277</v>
      </c>
      <c r="C276" s="470" t="s">
        <v>912</v>
      </c>
      <c r="D276" s="630">
        <v>4</v>
      </c>
      <c r="E276" s="119">
        <v>3</v>
      </c>
      <c r="F276" s="606">
        <v>3</v>
      </c>
      <c r="G276" s="608">
        <v>3</v>
      </c>
      <c r="H276" s="470"/>
      <c r="I276" s="470"/>
    </row>
    <row r="277" spans="1:9" ht="15.75" customHeight="1">
      <c r="A277" s="586" t="s">
        <v>15</v>
      </c>
      <c r="B277" s="620" t="s">
        <v>1278</v>
      </c>
      <c r="C277" s="470" t="s">
        <v>913</v>
      </c>
      <c r="D277" s="630">
        <v>3</v>
      </c>
      <c r="E277" s="119">
        <v>1</v>
      </c>
      <c r="F277" s="606">
        <v>6</v>
      </c>
      <c r="G277" s="608">
        <v>3</v>
      </c>
      <c r="H277" s="594"/>
      <c r="I277" s="470"/>
    </row>
    <row r="278" spans="1:9" ht="15.75" customHeight="1">
      <c r="A278" s="586" t="s">
        <v>15</v>
      </c>
      <c r="B278" s="620" t="s">
        <v>294</v>
      </c>
      <c r="C278" s="470" t="s">
        <v>914</v>
      </c>
      <c r="D278" s="630">
        <v>29</v>
      </c>
      <c r="E278" s="119">
        <v>46</v>
      </c>
      <c r="F278" s="606">
        <v>38</v>
      </c>
      <c r="G278" s="613">
        <v>42</v>
      </c>
      <c r="H278" s="470"/>
      <c r="I278" s="470"/>
    </row>
    <row r="279" spans="1:9" ht="15.75" customHeight="1">
      <c r="A279" s="586" t="s">
        <v>15</v>
      </c>
      <c r="B279" s="620" t="s">
        <v>1279</v>
      </c>
      <c r="C279" s="470" t="s">
        <v>915</v>
      </c>
      <c r="D279" s="630">
        <v>1</v>
      </c>
      <c r="E279" s="119">
        <v>1</v>
      </c>
      <c r="F279" s="606">
        <v>2</v>
      </c>
      <c r="G279" s="608">
        <v>1</v>
      </c>
      <c r="H279" s="470"/>
      <c r="I279" s="470"/>
    </row>
    <row r="280" spans="1:9" ht="15.75" customHeight="1">
      <c r="A280" s="586" t="s">
        <v>15</v>
      </c>
      <c r="B280" s="620" t="s">
        <v>916</v>
      </c>
      <c r="C280" s="470" t="s">
        <v>917</v>
      </c>
      <c r="D280" s="630">
        <v>0</v>
      </c>
      <c r="E280" s="119">
        <v>0</v>
      </c>
      <c r="F280" s="606">
        <v>2</v>
      </c>
      <c r="G280" s="608">
        <v>2</v>
      </c>
      <c r="H280" s="595"/>
      <c r="I280" s="470"/>
    </row>
    <row r="281" spans="1:9" ht="15.75">
      <c r="A281" s="586" t="s">
        <v>15</v>
      </c>
      <c r="B281" s="620" t="s">
        <v>1321</v>
      </c>
      <c r="C281" s="470" t="s">
        <v>918</v>
      </c>
      <c r="D281" s="630">
        <v>29</v>
      </c>
      <c r="E281" s="119">
        <v>61</v>
      </c>
      <c r="F281" s="606">
        <v>18</v>
      </c>
      <c r="G281" s="615">
        <v>31</v>
      </c>
      <c r="H281" s="470"/>
      <c r="I281" s="470"/>
    </row>
    <row r="282" spans="1:9">
      <c r="A282" s="586" t="s">
        <v>15</v>
      </c>
      <c r="B282" s="620" t="s">
        <v>1280</v>
      </c>
      <c r="C282" s="470" t="s">
        <v>919</v>
      </c>
      <c r="D282" s="630">
        <v>146</v>
      </c>
      <c r="E282" s="119">
        <v>120</v>
      </c>
      <c r="F282" s="606">
        <v>563</v>
      </c>
      <c r="G282" s="608">
        <v>406</v>
      </c>
      <c r="H282" s="470"/>
      <c r="I282" s="470"/>
    </row>
    <row r="283" spans="1:9">
      <c r="A283" s="586" t="s">
        <v>15</v>
      </c>
      <c r="B283" s="620" t="s">
        <v>1212</v>
      </c>
      <c r="C283" s="470" t="s">
        <v>830</v>
      </c>
      <c r="D283" s="630">
        <v>2</v>
      </c>
      <c r="E283" s="119">
        <v>0</v>
      </c>
      <c r="F283" s="606">
        <v>0</v>
      </c>
      <c r="G283" s="608">
        <v>0</v>
      </c>
      <c r="H283" s="470"/>
      <c r="I283" s="470"/>
    </row>
    <row r="284" spans="1:9">
      <c r="A284" s="586" t="s">
        <v>15</v>
      </c>
      <c r="B284" s="620" t="s">
        <v>1281</v>
      </c>
      <c r="C284" s="470" t="s">
        <v>920</v>
      </c>
      <c r="D284" s="630">
        <v>3</v>
      </c>
      <c r="E284" s="119">
        <v>5</v>
      </c>
      <c r="F284" s="606">
        <v>315</v>
      </c>
      <c r="G284" s="608">
        <v>304</v>
      </c>
      <c r="H284" s="583"/>
      <c r="I284" s="470"/>
    </row>
    <row r="285" spans="1:9">
      <c r="A285" s="586" t="s">
        <v>15</v>
      </c>
      <c r="B285" s="620" t="s">
        <v>1315</v>
      </c>
      <c r="C285" s="470" t="s">
        <v>921</v>
      </c>
      <c r="D285" s="630">
        <v>1</v>
      </c>
      <c r="E285" s="119">
        <v>1</v>
      </c>
      <c r="F285" s="606">
        <v>2</v>
      </c>
      <c r="G285" s="616">
        <v>2</v>
      </c>
      <c r="H285" s="470"/>
      <c r="I285" s="470"/>
    </row>
    <row r="286" spans="1:9">
      <c r="A286" s="586" t="s">
        <v>15</v>
      </c>
      <c r="B286" s="620" t="s">
        <v>1213</v>
      </c>
      <c r="C286" s="470" t="s">
        <v>831</v>
      </c>
      <c r="D286" s="630">
        <v>1166</v>
      </c>
      <c r="E286" s="119">
        <v>939</v>
      </c>
      <c r="F286" s="606">
        <v>0</v>
      </c>
      <c r="G286" s="608">
        <v>0</v>
      </c>
      <c r="H286" s="470"/>
      <c r="I286" s="470"/>
    </row>
    <row r="287" spans="1:9">
      <c r="A287" s="586" t="s">
        <v>15</v>
      </c>
      <c r="B287" s="620" t="s">
        <v>1282</v>
      </c>
      <c r="C287" s="470" t="s">
        <v>922</v>
      </c>
      <c r="D287" s="630">
        <v>23</v>
      </c>
      <c r="E287" s="119">
        <v>19</v>
      </c>
      <c r="F287" s="606">
        <v>15</v>
      </c>
      <c r="G287" s="608">
        <v>14</v>
      </c>
      <c r="H287" s="470"/>
      <c r="I287" s="470"/>
    </row>
    <row r="288" spans="1:9">
      <c r="A288" s="586" t="s">
        <v>15</v>
      </c>
      <c r="B288" s="620" t="s">
        <v>1283</v>
      </c>
      <c r="C288" s="470" t="s">
        <v>923</v>
      </c>
      <c r="D288" s="630">
        <v>12</v>
      </c>
      <c r="E288" s="119">
        <v>9</v>
      </c>
      <c r="F288" s="606">
        <v>127</v>
      </c>
      <c r="G288" s="608">
        <v>102</v>
      </c>
      <c r="H288" s="470"/>
      <c r="I288" s="470"/>
    </row>
    <row r="289" spans="1:9">
      <c r="A289" s="586" t="s">
        <v>15</v>
      </c>
      <c r="B289" s="620" t="s">
        <v>526</v>
      </c>
      <c r="C289" s="470" t="s">
        <v>924</v>
      </c>
      <c r="D289" s="630">
        <v>0</v>
      </c>
      <c r="E289" s="119">
        <v>0</v>
      </c>
      <c r="F289" s="606">
        <v>14</v>
      </c>
      <c r="G289" s="608">
        <v>4</v>
      </c>
      <c r="H289" s="470"/>
      <c r="I289" s="470"/>
    </row>
    <row r="290" spans="1:9">
      <c r="A290" s="586" t="s">
        <v>15</v>
      </c>
      <c r="B290" s="620" t="s">
        <v>1307</v>
      </c>
      <c r="C290" s="470" t="s">
        <v>925</v>
      </c>
      <c r="D290" s="630">
        <v>0</v>
      </c>
      <c r="E290" s="119">
        <v>0</v>
      </c>
      <c r="F290" s="606">
        <v>0</v>
      </c>
      <c r="G290" s="608">
        <v>0</v>
      </c>
      <c r="H290" s="470"/>
      <c r="I290" s="470"/>
    </row>
    <row r="291" spans="1:9">
      <c r="A291" s="586" t="s">
        <v>15</v>
      </c>
      <c r="B291" s="620" t="s">
        <v>1254</v>
      </c>
      <c r="C291" s="470" t="s">
        <v>926</v>
      </c>
      <c r="D291" s="630">
        <v>0</v>
      </c>
      <c r="E291" s="119">
        <v>0</v>
      </c>
      <c r="F291" s="606">
        <v>0</v>
      </c>
      <c r="G291" s="608">
        <v>0</v>
      </c>
      <c r="H291" s="470"/>
      <c r="I291" s="470"/>
    </row>
    <row r="292" spans="1:9">
      <c r="A292" s="586" t="s">
        <v>15</v>
      </c>
      <c r="B292" s="620" t="s">
        <v>1284</v>
      </c>
      <c r="C292" s="470" t="s">
        <v>927</v>
      </c>
      <c r="D292" s="630">
        <v>124</v>
      </c>
      <c r="E292" s="119">
        <v>265</v>
      </c>
      <c r="F292" s="606">
        <v>131</v>
      </c>
      <c r="G292" s="608">
        <v>252</v>
      </c>
      <c r="H292" s="470"/>
      <c r="I292" s="470"/>
    </row>
    <row r="293" spans="1:9">
      <c r="A293" s="586" t="s">
        <v>15</v>
      </c>
      <c r="B293" s="620" t="s">
        <v>1285</v>
      </c>
      <c r="C293" s="470" t="s">
        <v>928</v>
      </c>
      <c r="D293" s="630">
        <v>7</v>
      </c>
      <c r="E293" s="119">
        <v>7</v>
      </c>
      <c r="F293" s="606">
        <v>0</v>
      </c>
      <c r="G293" s="608">
        <v>0</v>
      </c>
      <c r="H293" s="470"/>
      <c r="I293" s="470"/>
    </row>
    <row r="294" spans="1:9">
      <c r="A294" s="586" t="s">
        <v>15</v>
      </c>
      <c r="B294" s="620" t="s">
        <v>1286</v>
      </c>
      <c r="C294" s="470" t="s">
        <v>929</v>
      </c>
      <c r="D294" s="630">
        <v>1</v>
      </c>
      <c r="E294" s="119">
        <v>0</v>
      </c>
      <c r="F294" s="606">
        <v>0</v>
      </c>
      <c r="G294" s="608">
        <v>0</v>
      </c>
      <c r="H294" s="470"/>
      <c r="I294" s="470"/>
    </row>
    <row r="295" spans="1:9">
      <c r="A295" s="586" t="s">
        <v>15</v>
      </c>
      <c r="B295" s="620" t="s">
        <v>466</v>
      </c>
      <c r="C295" s="470" t="s">
        <v>930</v>
      </c>
      <c r="D295" s="630">
        <v>2</v>
      </c>
      <c r="E295" s="119">
        <v>2</v>
      </c>
      <c r="F295" s="606">
        <v>3</v>
      </c>
      <c r="G295" s="608">
        <v>5</v>
      </c>
      <c r="H295" s="470"/>
      <c r="I295" s="470"/>
    </row>
    <row r="296" spans="1:9">
      <c r="A296" s="586" t="s">
        <v>15</v>
      </c>
      <c r="B296" s="620" t="s">
        <v>1248</v>
      </c>
      <c r="C296" s="470" t="s">
        <v>931</v>
      </c>
      <c r="D296" s="630">
        <v>34</v>
      </c>
      <c r="E296" s="119">
        <v>31</v>
      </c>
      <c r="F296" s="606">
        <v>65</v>
      </c>
      <c r="G296" s="608">
        <v>65</v>
      </c>
      <c r="H296" s="470"/>
      <c r="I296" s="470"/>
    </row>
    <row r="297" spans="1:9">
      <c r="A297" s="586" t="s">
        <v>15</v>
      </c>
      <c r="B297" s="620" t="s">
        <v>1287</v>
      </c>
      <c r="C297" s="470" t="s">
        <v>932</v>
      </c>
      <c r="D297" s="630">
        <v>0</v>
      </c>
      <c r="E297" s="119">
        <v>0</v>
      </c>
      <c r="F297" s="606">
        <v>1</v>
      </c>
      <c r="G297" s="608">
        <v>1</v>
      </c>
      <c r="H297" s="470"/>
      <c r="I297" s="470"/>
    </row>
    <row r="298" spans="1:9">
      <c r="A298" s="586" t="s">
        <v>15</v>
      </c>
      <c r="B298" s="620" t="s">
        <v>1288</v>
      </c>
      <c r="C298" s="470" t="s">
        <v>933</v>
      </c>
      <c r="D298" s="630">
        <v>0</v>
      </c>
      <c r="E298" s="119">
        <v>0</v>
      </c>
      <c r="F298" s="606">
        <v>1</v>
      </c>
      <c r="G298" s="608">
        <v>0</v>
      </c>
      <c r="H298" s="470"/>
      <c r="I298" s="470"/>
    </row>
    <row r="299" spans="1:9">
      <c r="A299" s="586" t="s">
        <v>15</v>
      </c>
      <c r="B299" s="620" t="s">
        <v>1257</v>
      </c>
      <c r="C299" s="470" t="s">
        <v>934</v>
      </c>
      <c r="D299" s="630">
        <v>0</v>
      </c>
      <c r="E299" s="119">
        <v>0</v>
      </c>
      <c r="F299" s="606">
        <v>0</v>
      </c>
      <c r="G299" s="608">
        <v>0</v>
      </c>
      <c r="H299" s="470"/>
      <c r="I299" s="470"/>
    </row>
    <row r="300" spans="1:9">
      <c r="A300" s="586" t="s">
        <v>15</v>
      </c>
      <c r="B300" s="620" t="s">
        <v>1289</v>
      </c>
      <c r="C300" s="470" t="s">
        <v>935</v>
      </c>
      <c r="D300" s="630">
        <v>2</v>
      </c>
      <c r="E300" s="119">
        <v>1</v>
      </c>
      <c r="F300" s="606">
        <v>0</v>
      </c>
      <c r="G300" s="608">
        <v>0</v>
      </c>
      <c r="H300" s="470"/>
      <c r="I300" s="470"/>
    </row>
    <row r="301" spans="1:9">
      <c r="A301" s="586" t="s">
        <v>15</v>
      </c>
      <c r="B301" s="620" t="s">
        <v>1290</v>
      </c>
      <c r="C301" s="470" t="s">
        <v>936</v>
      </c>
      <c r="D301" s="630">
        <v>2</v>
      </c>
      <c r="E301" s="119">
        <v>2</v>
      </c>
      <c r="F301" s="606">
        <v>1</v>
      </c>
      <c r="G301" s="608">
        <v>1</v>
      </c>
      <c r="H301" s="470"/>
      <c r="I301" s="470"/>
    </row>
    <row r="302" spans="1:9">
      <c r="A302" s="586" t="s">
        <v>15</v>
      </c>
      <c r="B302" s="620" t="s">
        <v>1291</v>
      </c>
      <c r="C302" s="470" t="s">
        <v>937</v>
      </c>
      <c r="D302" s="630">
        <v>2</v>
      </c>
      <c r="E302" s="119">
        <v>2</v>
      </c>
      <c r="F302" s="606">
        <v>11</v>
      </c>
      <c r="G302" s="608">
        <v>13</v>
      </c>
      <c r="H302" s="470"/>
      <c r="I302" s="470"/>
    </row>
    <row r="303" spans="1:9">
      <c r="A303" s="586" t="s">
        <v>15</v>
      </c>
      <c r="B303" s="620" t="s">
        <v>1219</v>
      </c>
      <c r="C303" s="470" t="s">
        <v>938</v>
      </c>
      <c r="D303" s="630">
        <v>0</v>
      </c>
      <c r="E303" s="119">
        <v>0</v>
      </c>
      <c r="F303" s="606">
        <v>825</v>
      </c>
      <c r="G303" s="608">
        <v>676</v>
      </c>
      <c r="H303" s="470"/>
      <c r="I303" s="470"/>
    </row>
    <row r="304" spans="1:9">
      <c r="A304" s="586" t="s">
        <v>15</v>
      </c>
      <c r="B304" s="620" t="s">
        <v>1292</v>
      </c>
      <c r="C304" s="470" t="s">
        <v>939</v>
      </c>
      <c r="D304" s="587">
        <v>466</v>
      </c>
      <c r="E304" s="600">
        <v>380</v>
      </c>
      <c r="F304" s="606">
        <v>412</v>
      </c>
      <c r="G304" s="608">
        <v>390</v>
      </c>
      <c r="H304" s="470"/>
      <c r="I304" s="470"/>
    </row>
    <row r="305" spans="1:9">
      <c r="A305" s="586" t="s">
        <v>15</v>
      </c>
      <c r="B305" s="620" t="s">
        <v>1293</v>
      </c>
      <c r="C305" s="470" t="s">
        <v>940</v>
      </c>
      <c r="D305" s="587">
        <v>0</v>
      </c>
      <c r="E305" s="600">
        <v>0</v>
      </c>
      <c r="F305" s="606">
        <v>1</v>
      </c>
      <c r="G305" s="608">
        <v>1</v>
      </c>
      <c r="H305" s="470"/>
      <c r="I305" s="470"/>
    </row>
    <row r="306" spans="1:9">
      <c r="A306" s="586" t="s">
        <v>15</v>
      </c>
      <c r="B306" s="620" t="s">
        <v>1330</v>
      </c>
      <c r="C306" s="470" t="s">
        <v>941</v>
      </c>
      <c r="D306" s="587">
        <v>0</v>
      </c>
      <c r="E306" s="600">
        <v>0</v>
      </c>
      <c r="F306" s="606">
        <v>5</v>
      </c>
      <c r="G306" s="608">
        <v>3</v>
      </c>
      <c r="H306" s="470"/>
      <c r="I306" s="470"/>
    </row>
    <row r="307" spans="1:9">
      <c r="A307" s="586" t="s">
        <v>15</v>
      </c>
      <c r="B307" s="620" t="s">
        <v>1294</v>
      </c>
      <c r="C307" s="470" t="s">
        <v>942</v>
      </c>
      <c r="D307" s="587">
        <v>0</v>
      </c>
      <c r="E307" s="600">
        <v>0</v>
      </c>
      <c r="F307" s="617">
        <v>2</v>
      </c>
      <c r="G307" s="608">
        <v>2</v>
      </c>
      <c r="H307" s="470"/>
      <c r="I307" s="470"/>
    </row>
    <row r="308" spans="1:9" s="579" customFormat="1" ht="15.75" customHeight="1">
      <c r="A308" s="657" t="str">
        <f>CONCATENATE("Total ",A307,":")</f>
        <v>Total Gold:</v>
      </c>
      <c r="B308" s="658"/>
      <c r="C308" s="659"/>
      <c r="D308" s="581">
        <f>SUMIF($A$7:$A$485,$A307,D$7:D$485)</f>
        <v>21381</v>
      </c>
      <c r="E308" s="597">
        <f>SUMIF($A$7:$A$485,$A307,E$7:E$485)</f>
        <v>17939</v>
      </c>
      <c r="F308" s="581">
        <f>SUMIF($A$7:$A$485,$A307,F$7:F$485)</f>
        <v>25489</v>
      </c>
      <c r="G308" s="597">
        <f>SUMIF($A$7:$A$485,$A307,G$7:G$485)</f>
        <v>20784</v>
      </c>
      <c r="H308" s="470"/>
      <c r="I308" s="470"/>
    </row>
    <row r="309" spans="1:9">
      <c r="A309" s="586" t="s">
        <v>129</v>
      </c>
      <c r="B309" s="620" t="s">
        <v>467</v>
      </c>
      <c r="C309" s="470" t="s">
        <v>943</v>
      </c>
      <c r="D309" s="587">
        <v>2</v>
      </c>
      <c r="E309" s="600">
        <v>1</v>
      </c>
      <c r="F309" s="618">
        <v>2</v>
      </c>
      <c r="G309" s="608">
        <v>1</v>
      </c>
      <c r="H309" s="470"/>
      <c r="I309" s="470"/>
    </row>
    <row r="310" spans="1:9">
      <c r="A310" s="586" t="s">
        <v>129</v>
      </c>
      <c r="B310" s="620" t="s">
        <v>469</v>
      </c>
      <c r="C310" s="470" t="s">
        <v>944</v>
      </c>
      <c r="D310" s="587">
        <v>1</v>
      </c>
      <c r="E310" s="600">
        <v>0</v>
      </c>
      <c r="F310" s="619">
        <v>2</v>
      </c>
      <c r="G310" s="608">
        <v>0</v>
      </c>
      <c r="H310" s="470"/>
      <c r="I310" s="470"/>
    </row>
    <row r="311" spans="1:9">
      <c r="A311" s="586" t="s">
        <v>129</v>
      </c>
      <c r="B311" s="620" t="s">
        <v>468</v>
      </c>
      <c r="C311" s="470" t="s">
        <v>945</v>
      </c>
      <c r="D311" s="587">
        <v>0</v>
      </c>
      <c r="E311" s="600">
        <v>0</v>
      </c>
      <c r="F311" s="618">
        <v>4</v>
      </c>
      <c r="G311" s="608">
        <v>2</v>
      </c>
      <c r="H311" s="470"/>
      <c r="I311" s="470"/>
    </row>
    <row r="312" spans="1:9">
      <c r="A312" s="586" t="s">
        <v>129</v>
      </c>
      <c r="B312" s="620" t="s">
        <v>470</v>
      </c>
      <c r="C312" s="470" t="s">
        <v>946</v>
      </c>
      <c r="D312" s="587">
        <v>26</v>
      </c>
      <c r="E312" s="600">
        <v>11</v>
      </c>
      <c r="F312" s="618">
        <v>21</v>
      </c>
      <c r="G312" s="608">
        <v>11</v>
      </c>
      <c r="H312" s="470"/>
      <c r="I312" s="470"/>
    </row>
    <row r="313" spans="1:9">
      <c r="A313" s="586" t="s">
        <v>129</v>
      </c>
      <c r="B313" s="620" t="s">
        <v>468</v>
      </c>
      <c r="C313" s="470" t="s">
        <v>947</v>
      </c>
      <c r="D313" s="587">
        <v>2</v>
      </c>
      <c r="E313" s="600">
        <v>1</v>
      </c>
      <c r="F313" s="618">
        <v>0</v>
      </c>
      <c r="G313" s="608">
        <v>0</v>
      </c>
      <c r="H313" s="470"/>
      <c r="I313" s="470"/>
    </row>
    <row r="314" spans="1:9">
      <c r="A314" s="146" t="s">
        <v>129</v>
      </c>
      <c r="B314" s="621" t="s">
        <v>538</v>
      </c>
      <c r="C314" s="228" t="s">
        <v>948</v>
      </c>
      <c r="D314" s="588">
        <v>4</v>
      </c>
      <c r="E314" s="601">
        <v>4</v>
      </c>
      <c r="F314" s="618">
        <v>4</v>
      </c>
      <c r="G314" s="608">
        <v>4</v>
      </c>
      <c r="H314" s="470"/>
      <c r="I314" s="470"/>
    </row>
    <row r="315" spans="1:9" s="579" customFormat="1" ht="15.75" customHeight="1">
      <c r="A315" s="657" t="str">
        <f>CONCATENATE("Total ",A314,":")</f>
        <v>Total Gypsum:</v>
      </c>
      <c r="B315" s="658"/>
      <c r="C315" s="659"/>
      <c r="D315" s="581">
        <f>SUMIF($A$7:$A$485,$A314,D$7:D$485)</f>
        <v>35</v>
      </c>
      <c r="E315" s="597">
        <f>SUMIF($A$7:$A$485,$A314,E$7:E$485)</f>
        <v>17</v>
      </c>
      <c r="F315" s="581">
        <f>SUMIF($A$7:$A$485,$A314,F$7:F$485)</f>
        <v>33</v>
      </c>
      <c r="G315" s="597">
        <f>SUMIF($A$7:$A$485,$A314,G$7:G$485)</f>
        <v>18</v>
      </c>
      <c r="H315" s="470"/>
      <c r="I315" s="470"/>
    </row>
    <row r="316" spans="1:9">
      <c r="A316" s="586" t="s">
        <v>109</v>
      </c>
      <c r="B316" s="620" t="s">
        <v>485</v>
      </c>
      <c r="C316" s="470" t="s">
        <v>958</v>
      </c>
      <c r="D316" s="630">
        <v>0</v>
      </c>
      <c r="E316" s="119">
        <v>0</v>
      </c>
      <c r="F316" s="618">
        <v>205</v>
      </c>
      <c r="G316" s="608">
        <v>436</v>
      </c>
      <c r="H316" s="470"/>
      <c r="I316" s="470"/>
    </row>
    <row r="317" spans="1:9">
      <c r="A317" s="586" t="s">
        <v>109</v>
      </c>
      <c r="B317" s="620" t="s">
        <v>110</v>
      </c>
      <c r="C317" s="470" t="s">
        <v>959</v>
      </c>
      <c r="D317" s="630">
        <v>4313</v>
      </c>
      <c r="E317" s="119">
        <v>4998</v>
      </c>
      <c r="F317" s="618">
        <v>3846</v>
      </c>
      <c r="G317" s="608">
        <v>3977</v>
      </c>
      <c r="H317" s="470"/>
      <c r="I317" s="470"/>
    </row>
    <row r="318" spans="1:9">
      <c r="A318" s="586" t="s">
        <v>109</v>
      </c>
      <c r="B318" s="620" t="s">
        <v>298</v>
      </c>
      <c r="C318" s="470" t="s">
        <v>960</v>
      </c>
      <c r="D318" s="630">
        <v>142</v>
      </c>
      <c r="E318" s="119">
        <v>247</v>
      </c>
      <c r="F318" s="618">
        <v>161</v>
      </c>
      <c r="G318" s="608">
        <v>256</v>
      </c>
      <c r="H318" s="470"/>
      <c r="I318" s="470"/>
    </row>
    <row r="319" spans="1:9">
      <c r="A319" s="586" t="s">
        <v>109</v>
      </c>
      <c r="B319" s="620" t="s">
        <v>486</v>
      </c>
      <c r="C319" s="470" t="s">
        <v>961</v>
      </c>
      <c r="D319" s="630">
        <v>2548</v>
      </c>
      <c r="E319" s="119">
        <v>2024</v>
      </c>
      <c r="F319" s="618">
        <v>2433</v>
      </c>
      <c r="G319" s="608">
        <v>1747</v>
      </c>
      <c r="H319" s="470"/>
      <c r="I319" s="470"/>
    </row>
    <row r="320" spans="1:9">
      <c r="A320" s="586" t="s">
        <v>109</v>
      </c>
      <c r="B320" s="620" t="s">
        <v>475</v>
      </c>
      <c r="C320" s="470" t="s">
        <v>962</v>
      </c>
      <c r="D320" s="630">
        <v>780</v>
      </c>
      <c r="E320" s="119">
        <v>845</v>
      </c>
      <c r="F320" s="618">
        <v>736</v>
      </c>
      <c r="G320" s="608">
        <v>775</v>
      </c>
      <c r="H320" s="470"/>
      <c r="I320" s="470"/>
    </row>
    <row r="321" spans="1:9">
      <c r="A321" s="586" t="s">
        <v>109</v>
      </c>
      <c r="B321" s="620" t="s">
        <v>473</v>
      </c>
      <c r="C321" s="470" t="s">
        <v>963</v>
      </c>
      <c r="D321" s="630">
        <v>2889</v>
      </c>
      <c r="E321" s="119">
        <v>2003</v>
      </c>
      <c r="F321" s="618">
        <v>2765</v>
      </c>
      <c r="G321" s="608">
        <v>1811</v>
      </c>
      <c r="H321" s="470"/>
      <c r="I321" s="470"/>
    </row>
    <row r="322" spans="1:9">
      <c r="A322" s="586" t="s">
        <v>109</v>
      </c>
      <c r="B322" s="620" t="s">
        <v>473</v>
      </c>
      <c r="C322" s="470" t="s">
        <v>964</v>
      </c>
      <c r="D322" s="630">
        <v>3091</v>
      </c>
      <c r="E322" s="119">
        <v>1681</v>
      </c>
      <c r="F322" s="618">
        <v>3460</v>
      </c>
      <c r="G322" s="608">
        <v>2052</v>
      </c>
      <c r="H322" s="470"/>
      <c r="I322" s="470"/>
    </row>
    <row r="323" spans="1:9">
      <c r="A323" s="586" t="s">
        <v>109</v>
      </c>
      <c r="B323" s="620" t="s">
        <v>473</v>
      </c>
      <c r="C323" s="470" t="s">
        <v>965</v>
      </c>
      <c r="D323" s="630">
        <v>2950</v>
      </c>
      <c r="E323" s="119">
        <v>2123</v>
      </c>
      <c r="F323" s="618">
        <v>2859</v>
      </c>
      <c r="G323" s="608">
        <v>2071</v>
      </c>
      <c r="H323" s="470"/>
      <c r="I323" s="470"/>
    </row>
    <row r="324" spans="1:9">
      <c r="A324" s="146" t="s">
        <v>109</v>
      </c>
      <c r="B324" s="621" t="s">
        <v>484</v>
      </c>
      <c r="C324" s="228" t="s">
        <v>966</v>
      </c>
      <c r="D324" s="628">
        <v>292</v>
      </c>
      <c r="E324" s="629">
        <v>232</v>
      </c>
      <c r="F324" s="618">
        <v>258</v>
      </c>
      <c r="G324" s="608">
        <v>193</v>
      </c>
      <c r="H324" s="470"/>
      <c r="I324" s="470"/>
    </row>
    <row r="325" spans="1:9">
      <c r="A325" s="586" t="s">
        <v>109</v>
      </c>
      <c r="B325" s="620" t="s">
        <v>299</v>
      </c>
      <c r="C325" s="470" t="s">
        <v>967</v>
      </c>
      <c r="D325" s="630">
        <v>68</v>
      </c>
      <c r="E325" s="119">
        <v>74</v>
      </c>
      <c r="F325" s="618">
        <v>0</v>
      </c>
      <c r="G325" s="608">
        <v>0</v>
      </c>
      <c r="H325" s="470"/>
      <c r="I325" s="470"/>
    </row>
    <row r="326" spans="1:9">
      <c r="A326" s="146" t="s">
        <v>109</v>
      </c>
      <c r="B326" s="621" t="s">
        <v>473</v>
      </c>
      <c r="C326" s="228" t="s">
        <v>968</v>
      </c>
      <c r="D326" s="628">
        <v>6042</v>
      </c>
      <c r="E326" s="629">
        <v>3233</v>
      </c>
      <c r="F326" s="618">
        <v>5783</v>
      </c>
      <c r="G326" s="608">
        <v>2995</v>
      </c>
      <c r="H326" s="470"/>
      <c r="I326" s="470"/>
    </row>
    <row r="327" spans="1:9">
      <c r="A327" s="586" t="s">
        <v>109</v>
      </c>
      <c r="B327" s="620" t="s">
        <v>478</v>
      </c>
      <c r="C327" s="470" t="s">
        <v>969</v>
      </c>
      <c r="D327" s="630">
        <v>2041</v>
      </c>
      <c r="E327" s="119">
        <v>1695</v>
      </c>
      <c r="F327" s="618">
        <v>1901</v>
      </c>
      <c r="G327" s="608">
        <v>1565</v>
      </c>
      <c r="H327" s="470"/>
      <c r="I327" s="470"/>
    </row>
    <row r="328" spans="1:9">
      <c r="A328" s="586" t="s">
        <v>109</v>
      </c>
      <c r="B328" s="620" t="s">
        <v>474</v>
      </c>
      <c r="C328" s="470" t="s">
        <v>970</v>
      </c>
      <c r="D328" s="630">
        <v>1779</v>
      </c>
      <c r="E328" s="119">
        <v>1877</v>
      </c>
      <c r="F328" s="618">
        <v>1667</v>
      </c>
      <c r="G328" s="608">
        <v>1644</v>
      </c>
      <c r="H328" s="470"/>
      <c r="I328" s="470"/>
    </row>
    <row r="329" spans="1:9">
      <c r="A329" s="586" t="s">
        <v>109</v>
      </c>
      <c r="B329" s="620" t="s">
        <v>484</v>
      </c>
      <c r="C329" s="470" t="s">
        <v>971</v>
      </c>
      <c r="D329" s="630">
        <v>186</v>
      </c>
      <c r="E329" s="119">
        <v>174</v>
      </c>
      <c r="F329" s="618">
        <v>55</v>
      </c>
      <c r="G329" s="608">
        <v>49</v>
      </c>
      <c r="H329" s="470"/>
      <c r="I329" s="470"/>
    </row>
    <row r="330" spans="1:9">
      <c r="A330" s="586" t="s">
        <v>109</v>
      </c>
      <c r="B330" s="620" t="s">
        <v>479</v>
      </c>
      <c r="C330" s="470" t="s">
        <v>972</v>
      </c>
      <c r="D330" s="630">
        <v>1289</v>
      </c>
      <c r="E330" s="119">
        <v>1117</v>
      </c>
      <c r="F330" s="618">
        <v>1386</v>
      </c>
      <c r="G330" s="608">
        <v>1126</v>
      </c>
      <c r="H330" s="470"/>
      <c r="I330" s="470"/>
    </row>
    <row r="331" spans="1:9">
      <c r="A331" s="586" t="s">
        <v>109</v>
      </c>
      <c r="B331" s="620" t="s">
        <v>1295</v>
      </c>
      <c r="C331" s="470" t="s">
        <v>973</v>
      </c>
      <c r="D331" s="630">
        <v>69</v>
      </c>
      <c r="E331" s="119">
        <v>27</v>
      </c>
      <c r="F331" s="618">
        <v>111</v>
      </c>
      <c r="G331" s="608">
        <v>37</v>
      </c>
      <c r="H331" s="470"/>
      <c r="I331" s="470"/>
    </row>
    <row r="332" spans="1:9">
      <c r="A332" s="586" t="s">
        <v>109</v>
      </c>
      <c r="B332" s="620" t="s">
        <v>472</v>
      </c>
      <c r="C332" s="470" t="s">
        <v>974</v>
      </c>
      <c r="D332" s="630">
        <v>5</v>
      </c>
      <c r="E332" s="119">
        <v>4</v>
      </c>
      <c r="F332" s="618">
        <v>4</v>
      </c>
      <c r="G332" s="608">
        <v>3</v>
      </c>
      <c r="H332" s="470"/>
      <c r="I332" s="470"/>
    </row>
    <row r="333" spans="1:9">
      <c r="A333" s="586" t="s">
        <v>109</v>
      </c>
      <c r="B333" s="620" t="s">
        <v>300</v>
      </c>
      <c r="C333" s="470" t="s">
        <v>975</v>
      </c>
      <c r="D333" s="630">
        <v>41</v>
      </c>
      <c r="E333" s="119">
        <v>86</v>
      </c>
      <c r="F333" s="618">
        <v>13</v>
      </c>
      <c r="G333" s="608">
        <v>21</v>
      </c>
      <c r="H333" s="470"/>
      <c r="I333" s="470"/>
    </row>
    <row r="334" spans="1:9">
      <c r="A334" s="586" t="s">
        <v>109</v>
      </c>
      <c r="B334" s="620" t="s">
        <v>477</v>
      </c>
      <c r="C334" s="470" t="s">
        <v>976</v>
      </c>
      <c r="D334" s="630">
        <v>6441</v>
      </c>
      <c r="E334" s="119">
        <v>6023</v>
      </c>
      <c r="F334" s="618">
        <v>5760</v>
      </c>
      <c r="G334" s="608">
        <v>5590</v>
      </c>
      <c r="H334" s="470"/>
      <c r="I334" s="470"/>
    </row>
    <row r="335" spans="1:9">
      <c r="A335" s="586" t="s">
        <v>109</v>
      </c>
      <c r="B335" s="620" t="s">
        <v>477</v>
      </c>
      <c r="C335" s="470" t="s">
        <v>977</v>
      </c>
      <c r="D335" s="630">
        <v>3121</v>
      </c>
      <c r="E335" s="119">
        <v>3051</v>
      </c>
      <c r="F335" s="618">
        <v>3169</v>
      </c>
      <c r="G335" s="608">
        <v>2841</v>
      </c>
      <c r="H335" s="470"/>
      <c r="I335" s="470"/>
    </row>
    <row r="336" spans="1:9">
      <c r="A336" s="586" t="s">
        <v>109</v>
      </c>
      <c r="B336" s="620" t="s">
        <v>1324</v>
      </c>
      <c r="C336" s="470" t="s">
        <v>978</v>
      </c>
      <c r="D336" s="630">
        <v>14</v>
      </c>
      <c r="E336" s="119">
        <v>6</v>
      </c>
      <c r="F336" s="618">
        <v>34</v>
      </c>
      <c r="G336" s="608">
        <v>15</v>
      </c>
      <c r="H336" s="470"/>
      <c r="I336" s="470"/>
    </row>
    <row r="337" spans="1:9">
      <c r="A337" s="586" t="s">
        <v>109</v>
      </c>
      <c r="B337" s="620" t="s">
        <v>481</v>
      </c>
      <c r="C337" s="470" t="s">
        <v>979</v>
      </c>
      <c r="D337" s="630">
        <v>13</v>
      </c>
      <c r="E337" s="119">
        <v>13</v>
      </c>
      <c r="F337" s="618">
        <v>0</v>
      </c>
      <c r="G337" s="608">
        <v>0</v>
      </c>
      <c r="H337" s="470"/>
      <c r="I337" s="470"/>
    </row>
    <row r="338" spans="1:9">
      <c r="A338" s="586" t="s">
        <v>109</v>
      </c>
      <c r="B338" s="620" t="s">
        <v>488</v>
      </c>
      <c r="C338" s="470" t="s">
        <v>980</v>
      </c>
      <c r="D338" s="630">
        <v>29</v>
      </c>
      <c r="E338" s="119">
        <v>55</v>
      </c>
      <c r="F338" s="618">
        <v>2</v>
      </c>
      <c r="G338" s="608">
        <v>1</v>
      </c>
      <c r="H338" s="470"/>
      <c r="I338" s="470"/>
    </row>
    <row r="339" spans="1:9">
      <c r="A339" s="586" t="s">
        <v>109</v>
      </c>
      <c r="B339" s="620" t="s">
        <v>111</v>
      </c>
      <c r="C339" s="470" t="s">
        <v>981</v>
      </c>
      <c r="D339" s="630">
        <v>649</v>
      </c>
      <c r="E339" s="119">
        <v>1339</v>
      </c>
      <c r="F339" s="618">
        <v>577</v>
      </c>
      <c r="G339" s="608">
        <v>1077</v>
      </c>
      <c r="H339" s="470"/>
      <c r="I339" s="470"/>
    </row>
    <row r="340" spans="1:9">
      <c r="A340" s="586" t="s">
        <v>109</v>
      </c>
      <c r="B340" s="620" t="s">
        <v>487</v>
      </c>
      <c r="C340" s="470" t="s">
        <v>982</v>
      </c>
      <c r="D340" s="630">
        <v>2369</v>
      </c>
      <c r="E340" s="119">
        <v>4240</v>
      </c>
      <c r="F340" s="618">
        <v>953</v>
      </c>
      <c r="G340" s="608">
        <v>1629</v>
      </c>
      <c r="H340" s="470"/>
      <c r="I340" s="470"/>
    </row>
    <row r="341" spans="1:9">
      <c r="A341" s="586" t="s">
        <v>109</v>
      </c>
      <c r="B341" s="620" t="s">
        <v>473</v>
      </c>
      <c r="C341" s="470" t="s">
        <v>983</v>
      </c>
      <c r="D341" s="630">
        <v>2560</v>
      </c>
      <c r="E341" s="119">
        <v>1320</v>
      </c>
      <c r="F341" s="618">
        <v>2704</v>
      </c>
      <c r="G341" s="608">
        <v>1480</v>
      </c>
      <c r="H341" s="470"/>
      <c r="I341" s="470"/>
    </row>
    <row r="342" spans="1:9">
      <c r="A342" s="586" t="s">
        <v>109</v>
      </c>
      <c r="B342" s="620" t="s">
        <v>480</v>
      </c>
      <c r="C342" s="470" t="s">
        <v>984</v>
      </c>
      <c r="D342" s="630">
        <v>1319</v>
      </c>
      <c r="E342" s="119">
        <v>1095</v>
      </c>
      <c r="F342" s="618">
        <v>1182</v>
      </c>
      <c r="G342" s="608">
        <v>906</v>
      </c>
      <c r="H342" s="470"/>
      <c r="I342" s="470"/>
    </row>
    <row r="343" spans="1:9">
      <c r="A343" s="586" t="s">
        <v>109</v>
      </c>
      <c r="B343" s="620" t="s">
        <v>112</v>
      </c>
      <c r="C343" s="470" t="s">
        <v>985</v>
      </c>
      <c r="D343" s="630">
        <v>0</v>
      </c>
      <c r="E343" s="119">
        <v>0</v>
      </c>
      <c r="F343" s="618">
        <v>0</v>
      </c>
      <c r="G343" s="608">
        <v>0</v>
      </c>
      <c r="H343" s="470"/>
      <c r="I343" s="470"/>
    </row>
    <row r="344" spans="1:9">
      <c r="A344" s="586" t="s">
        <v>109</v>
      </c>
      <c r="B344" s="620" t="s">
        <v>1296</v>
      </c>
      <c r="C344" s="470" t="s">
        <v>986</v>
      </c>
      <c r="D344" s="630">
        <v>418</v>
      </c>
      <c r="E344" s="119">
        <v>385</v>
      </c>
      <c r="F344" s="618">
        <v>46</v>
      </c>
      <c r="G344" s="608">
        <v>28</v>
      </c>
      <c r="H344" s="470"/>
      <c r="I344" s="470"/>
    </row>
    <row r="345" spans="1:9">
      <c r="A345" s="586" t="s">
        <v>109</v>
      </c>
      <c r="B345" s="620" t="s">
        <v>476</v>
      </c>
      <c r="C345" s="470" t="s">
        <v>987</v>
      </c>
      <c r="D345" s="630">
        <v>3</v>
      </c>
      <c r="E345" s="119">
        <v>6</v>
      </c>
      <c r="F345" s="618">
        <v>3</v>
      </c>
      <c r="G345" s="608">
        <v>6</v>
      </c>
      <c r="H345" s="470"/>
      <c r="I345" s="470"/>
    </row>
    <row r="346" spans="1:9">
      <c r="A346" s="586" t="s">
        <v>109</v>
      </c>
      <c r="B346" s="620" t="s">
        <v>112</v>
      </c>
      <c r="C346" s="470" t="s">
        <v>988</v>
      </c>
      <c r="D346" s="630">
        <v>2</v>
      </c>
      <c r="E346" s="119">
        <v>4</v>
      </c>
      <c r="F346" s="618">
        <v>1</v>
      </c>
      <c r="G346" s="608">
        <v>1</v>
      </c>
      <c r="H346" s="470"/>
      <c r="I346" s="470"/>
    </row>
    <row r="347" spans="1:9">
      <c r="A347" s="586" t="s">
        <v>109</v>
      </c>
      <c r="B347" s="620" t="s">
        <v>298</v>
      </c>
      <c r="C347" s="470" t="s">
        <v>989</v>
      </c>
      <c r="D347" s="630">
        <v>4</v>
      </c>
      <c r="E347" s="119">
        <v>5</v>
      </c>
      <c r="F347" s="618">
        <v>4</v>
      </c>
      <c r="G347" s="608">
        <v>4</v>
      </c>
      <c r="H347" s="470"/>
      <c r="I347" s="470"/>
    </row>
    <row r="348" spans="1:9">
      <c r="A348" s="586" t="s">
        <v>109</v>
      </c>
      <c r="B348" s="620" t="s">
        <v>489</v>
      </c>
      <c r="C348" s="470" t="s">
        <v>990</v>
      </c>
      <c r="D348" s="630">
        <v>48</v>
      </c>
      <c r="E348" s="119">
        <v>41</v>
      </c>
      <c r="F348" s="618">
        <v>3</v>
      </c>
      <c r="G348" s="608">
        <v>3</v>
      </c>
      <c r="H348" s="470"/>
      <c r="I348" s="470"/>
    </row>
    <row r="349" spans="1:9">
      <c r="A349" s="586" t="s">
        <v>109</v>
      </c>
      <c r="B349" s="620" t="s">
        <v>477</v>
      </c>
      <c r="C349" s="470" t="s">
        <v>991</v>
      </c>
      <c r="D349" s="630">
        <v>1358</v>
      </c>
      <c r="E349" s="119">
        <v>717</v>
      </c>
      <c r="F349" s="618">
        <v>1274</v>
      </c>
      <c r="G349" s="608">
        <v>655</v>
      </c>
      <c r="H349" s="470"/>
      <c r="I349" s="470"/>
    </row>
    <row r="350" spans="1:9">
      <c r="A350" s="586" t="s">
        <v>109</v>
      </c>
      <c r="B350" s="620" t="s">
        <v>298</v>
      </c>
      <c r="C350" s="470" t="s">
        <v>992</v>
      </c>
      <c r="D350" s="630">
        <v>7</v>
      </c>
      <c r="E350" s="119">
        <v>9</v>
      </c>
      <c r="F350" s="618">
        <v>1</v>
      </c>
      <c r="G350" s="608">
        <v>1</v>
      </c>
      <c r="H350" s="470"/>
      <c r="I350" s="470"/>
    </row>
    <row r="351" spans="1:9">
      <c r="A351" s="586" t="s">
        <v>109</v>
      </c>
      <c r="B351" s="620" t="s">
        <v>485</v>
      </c>
      <c r="C351" s="470" t="s">
        <v>958</v>
      </c>
      <c r="D351" s="630">
        <v>202</v>
      </c>
      <c r="E351" s="119">
        <v>427</v>
      </c>
      <c r="F351" s="618">
        <v>0</v>
      </c>
      <c r="G351" s="608">
        <v>0</v>
      </c>
      <c r="H351" s="470"/>
      <c r="I351" s="470"/>
    </row>
    <row r="352" spans="1:9">
      <c r="A352" s="586" t="s">
        <v>109</v>
      </c>
      <c r="B352" s="620" t="s">
        <v>483</v>
      </c>
      <c r="C352" s="470" t="s">
        <v>993</v>
      </c>
      <c r="D352" s="630">
        <v>6</v>
      </c>
      <c r="E352" s="119">
        <v>5</v>
      </c>
      <c r="F352" s="618">
        <v>0</v>
      </c>
      <c r="G352" s="608">
        <v>0</v>
      </c>
      <c r="H352" s="470"/>
      <c r="I352" s="470"/>
    </row>
    <row r="353" spans="1:9">
      <c r="A353" s="586" t="s">
        <v>109</v>
      </c>
      <c r="B353" s="620" t="s">
        <v>298</v>
      </c>
      <c r="C353" s="470" t="s">
        <v>994</v>
      </c>
      <c r="D353" s="630">
        <v>147</v>
      </c>
      <c r="E353" s="119">
        <v>238</v>
      </c>
      <c r="F353" s="618">
        <v>129</v>
      </c>
      <c r="G353" s="608">
        <v>200</v>
      </c>
      <c r="H353" s="470"/>
      <c r="I353" s="470"/>
    </row>
    <row r="354" spans="1:9">
      <c r="A354" s="586" t="s">
        <v>109</v>
      </c>
      <c r="B354" s="620" t="s">
        <v>298</v>
      </c>
      <c r="C354" s="470" t="s">
        <v>995</v>
      </c>
      <c r="D354" s="630">
        <v>130</v>
      </c>
      <c r="E354" s="119">
        <v>203</v>
      </c>
      <c r="F354" s="618">
        <v>211</v>
      </c>
      <c r="G354" s="608">
        <v>272</v>
      </c>
      <c r="H354" s="470"/>
      <c r="I354" s="470"/>
    </row>
    <row r="355" spans="1:9">
      <c r="A355" s="586" t="s">
        <v>109</v>
      </c>
      <c r="B355" s="620" t="s">
        <v>1297</v>
      </c>
      <c r="C355" s="470" t="s">
        <v>996</v>
      </c>
      <c r="D355" s="630">
        <v>372</v>
      </c>
      <c r="E355" s="119">
        <v>338</v>
      </c>
      <c r="F355" s="618">
        <v>125</v>
      </c>
      <c r="G355" s="608">
        <v>90</v>
      </c>
      <c r="H355" s="470"/>
      <c r="I355" s="470"/>
    </row>
    <row r="356" spans="1:9">
      <c r="A356" s="586" t="s">
        <v>109</v>
      </c>
      <c r="B356" s="620" t="s">
        <v>482</v>
      </c>
      <c r="C356" s="470" t="s">
        <v>997</v>
      </c>
      <c r="D356" s="630">
        <v>245</v>
      </c>
      <c r="E356" s="119">
        <v>248</v>
      </c>
      <c r="F356" s="618">
        <v>311</v>
      </c>
      <c r="G356" s="608">
        <v>278</v>
      </c>
      <c r="H356" s="470"/>
      <c r="I356" s="470"/>
    </row>
    <row r="357" spans="1:9">
      <c r="A357" s="586" t="s">
        <v>109</v>
      </c>
      <c r="B357" s="620" t="s">
        <v>480</v>
      </c>
      <c r="C357" s="470" t="s">
        <v>998</v>
      </c>
      <c r="D357" s="630">
        <v>1743</v>
      </c>
      <c r="E357" s="119">
        <v>1470</v>
      </c>
      <c r="F357" s="618">
        <v>1782</v>
      </c>
      <c r="G357" s="608">
        <v>1427</v>
      </c>
      <c r="H357" s="470"/>
      <c r="I357" s="470"/>
    </row>
    <row r="358" spans="1:9">
      <c r="A358" s="586" t="s">
        <v>109</v>
      </c>
      <c r="B358" s="620" t="s">
        <v>480</v>
      </c>
      <c r="C358" s="470" t="s">
        <v>999</v>
      </c>
      <c r="D358" s="630">
        <v>884</v>
      </c>
      <c r="E358" s="119">
        <v>818</v>
      </c>
      <c r="F358" s="618">
        <v>1055</v>
      </c>
      <c r="G358" s="608">
        <v>901</v>
      </c>
      <c r="H358" s="470"/>
      <c r="I358" s="470"/>
    </row>
    <row r="359" spans="1:9">
      <c r="A359" s="586" t="s">
        <v>109</v>
      </c>
      <c r="B359" s="620" t="s">
        <v>480</v>
      </c>
      <c r="C359" s="470" t="s">
        <v>1000</v>
      </c>
      <c r="D359" s="630">
        <v>1292</v>
      </c>
      <c r="E359" s="119">
        <v>1058</v>
      </c>
      <c r="F359" s="618">
        <v>1511</v>
      </c>
      <c r="G359" s="608">
        <v>1135</v>
      </c>
      <c r="H359" s="470"/>
      <c r="I359" s="470"/>
    </row>
    <row r="360" spans="1:9">
      <c r="A360" s="586" t="s">
        <v>109</v>
      </c>
      <c r="B360" s="620" t="s">
        <v>480</v>
      </c>
      <c r="C360" s="470" t="s">
        <v>1001</v>
      </c>
      <c r="D360" s="630">
        <v>1464</v>
      </c>
      <c r="E360" s="119">
        <v>1313</v>
      </c>
      <c r="F360" s="618">
        <v>1395</v>
      </c>
      <c r="G360" s="608">
        <v>1167</v>
      </c>
      <c r="H360" s="470"/>
      <c r="I360" s="470"/>
    </row>
    <row r="361" spans="1:9">
      <c r="A361" s="586" t="s">
        <v>109</v>
      </c>
      <c r="B361" s="620" t="s">
        <v>480</v>
      </c>
      <c r="C361" s="470" t="s">
        <v>1002</v>
      </c>
      <c r="D361" s="630">
        <v>2050</v>
      </c>
      <c r="E361" s="119">
        <v>2096</v>
      </c>
      <c r="F361" s="618">
        <v>2329</v>
      </c>
      <c r="G361" s="608">
        <v>2047</v>
      </c>
      <c r="H361" s="470"/>
      <c r="I361" s="470"/>
    </row>
    <row r="362" spans="1:9">
      <c r="A362" s="586" t="s">
        <v>109</v>
      </c>
      <c r="B362" s="620" t="s">
        <v>301</v>
      </c>
      <c r="C362" s="470" t="s">
        <v>1003</v>
      </c>
      <c r="D362" s="630">
        <v>52</v>
      </c>
      <c r="E362" s="119">
        <v>79</v>
      </c>
      <c r="F362" s="618">
        <v>243</v>
      </c>
      <c r="G362" s="608">
        <v>278</v>
      </c>
      <c r="H362" s="470"/>
      <c r="I362" s="470"/>
    </row>
    <row r="363" spans="1:9">
      <c r="A363" s="586" t="s">
        <v>109</v>
      </c>
      <c r="B363" s="620" t="s">
        <v>484</v>
      </c>
      <c r="C363" s="470" t="s">
        <v>1004</v>
      </c>
      <c r="D363" s="630">
        <v>0</v>
      </c>
      <c r="E363" s="119">
        <v>0</v>
      </c>
      <c r="F363" s="618">
        <v>0</v>
      </c>
      <c r="G363" s="608">
        <v>0</v>
      </c>
      <c r="H363" s="470"/>
      <c r="I363" s="470"/>
    </row>
    <row r="364" spans="1:9" s="579" customFormat="1" ht="15.75" customHeight="1">
      <c r="A364" s="657" t="str">
        <f>CONCATENATE("Total ",A363,":")</f>
        <v>Total Iron Ore:</v>
      </c>
      <c r="B364" s="658"/>
      <c r="C364" s="659"/>
      <c r="D364" s="581">
        <f>SUMIF($A$7:$A$485,$A363,D$7:D$485)</f>
        <v>55467</v>
      </c>
      <c r="E364" s="597">
        <f>SUMIF($A$7:$A$485,$A363,E$7:E$485)</f>
        <v>49042</v>
      </c>
      <c r="F364" s="581">
        <f>SUMIF($A$7:$A$485,$A363,F$7:F$485)</f>
        <v>52447</v>
      </c>
      <c r="G364" s="597">
        <f>SUMIF($A$7:$A$485,$A363,G$7:G$485)</f>
        <v>42790</v>
      </c>
      <c r="H364" s="470"/>
      <c r="I364" s="470"/>
    </row>
    <row r="365" spans="1:9">
      <c r="A365" s="586" t="s">
        <v>490</v>
      </c>
      <c r="B365" s="620" t="s">
        <v>492</v>
      </c>
      <c r="C365" s="470" t="s">
        <v>1005</v>
      </c>
      <c r="D365" s="630">
        <v>0</v>
      </c>
      <c r="E365" s="119">
        <v>0</v>
      </c>
      <c r="F365" s="618">
        <v>1</v>
      </c>
      <c r="G365" s="608">
        <v>0</v>
      </c>
      <c r="H365" s="470"/>
      <c r="I365" s="470"/>
    </row>
    <row r="366" spans="1:9">
      <c r="A366" s="586" t="s">
        <v>490</v>
      </c>
      <c r="B366" s="620" t="s">
        <v>495</v>
      </c>
      <c r="C366" s="470" t="s">
        <v>1006</v>
      </c>
      <c r="D366" s="630">
        <v>0</v>
      </c>
      <c r="E366" s="119">
        <v>0</v>
      </c>
      <c r="F366" s="618">
        <v>0</v>
      </c>
      <c r="G366" s="608">
        <v>0</v>
      </c>
      <c r="H366" s="470"/>
      <c r="I366" s="470"/>
    </row>
    <row r="367" spans="1:9">
      <c r="A367" s="586" t="s">
        <v>490</v>
      </c>
      <c r="B367" s="620" t="s">
        <v>469</v>
      </c>
      <c r="C367" s="470" t="s">
        <v>1007</v>
      </c>
      <c r="D367" s="630">
        <v>2</v>
      </c>
      <c r="E367" s="119">
        <v>1</v>
      </c>
      <c r="F367" s="618">
        <v>3</v>
      </c>
      <c r="G367" s="608">
        <v>2</v>
      </c>
      <c r="H367" s="470"/>
      <c r="I367" s="470"/>
    </row>
    <row r="368" spans="1:9">
      <c r="A368" s="586" t="s">
        <v>490</v>
      </c>
      <c r="B368" s="620" t="s">
        <v>495</v>
      </c>
      <c r="C368" s="470" t="s">
        <v>1008</v>
      </c>
      <c r="D368" s="630">
        <v>56</v>
      </c>
      <c r="E368" s="119">
        <v>19</v>
      </c>
      <c r="F368" s="618">
        <v>61</v>
      </c>
      <c r="G368" s="608">
        <v>20</v>
      </c>
      <c r="H368" s="470"/>
      <c r="I368" s="470"/>
    </row>
    <row r="369" spans="1:9">
      <c r="A369" s="586" t="s">
        <v>490</v>
      </c>
      <c r="B369" s="620" t="s">
        <v>495</v>
      </c>
      <c r="C369" s="470" t="s">
        <v>1009</v>
      </c>
      <c r="D369" s="630">
        <v>30</v>
      </c>
      <c r="E369" s="119">
        <v>12</v>
      </c>
      <c r="F369" s="618">
        <v>29</v>
      </c>
      <c r="G369" s="608">
        <v>12</v>
      </c>
      <c r="H369" s="470"/>
      <c r="I369" s="470"/>
    </row>
    <row r="370" spans="1:9">
      <c r="A370" s="586" t="s">
        <v>490</v>
      </c>
      <c r="B370" s="620" t="s">
        <v>495</v>
      </c>
      <c r="C370" s="470" t="s">
        <v>1010</v>
      </c>
      <c r="D370" s="630">
        <v>66</v>
      </c>
      <c r="E370" s="119">
        <v>17</v>
      </c>
      <c r="F370" s="618">
        <v>80</v>
      </c>
      <c r="G370" s="608">
        <v>18</v>
      </c>
      <c r="H370" s="470"/>
      <c r="I370" s="470"/>
    </row>
    <row r="371" spans="1:9">
      <c r="A371" s="586" t="s">
        <v>490</v>
      </c>
      <c r="B371" s="620" t="s">
        <v>469</v>
      </c>
      <c r="C371" s="470" t="s">
        <v>1011</v>
      </c>
      <c r="D371" s="630">
        <v>2</v>
      </c>
      <c r="E371" s="119">
        <v>1</v>
      </c>
      <c r="F371" s="618">
        <v>2</v>
      </c>
      <c r="G371" s="608">
        <v>1</v>
      </c>
      <c r="H371" s="470"/>
      <c r="I371" s="470"/>
    </row>
    <row r="372" spans="1:9">
      <c r="A372" s="586" t="s">
        <v>490</v>
      </c>
      <c r="B372" s="620" t="s">
        <v>1312</v>
      </c>
      <c r="C372" s="470" t="s">
        <v>1012</v>
      </c>
      <c r="D372" s="630">
        <v>3</v>
      </c>
      <c r="E372" s="119">
        <v>2</v>
      </c>
      <c r="F372" s="618">
        <v>3</v>
      </c>
      <c r="G372" s="608">
        <v>1</v>
      </c>
      <c r="H372" s="470"/>
      <c r="I372" s="470"/>
    </row>
    <row r="373" spans="1:9">
      <c r="A373" s="586" t="s">
        <v>490</v>
      </c>
      <c r="B373" s="620" t="s">
        <v>506</v>
      </c>
      <c r="C373" s="470" t="s">
        <v>1013</v>
      </c>
      <c r="D373" s="630">
        <v>11</v>
      </c>
      <c r="E373" s="119">
        <v>7</v>
      </c>
      <c r="F373" s="618">
        <v>11</v>
      </c>
      <c r="G373" s="608">
        <v>6</v>
      </c>
      <c r="H373" s="470"/>
      <c r="I373" s="470"/>
    </row>
    <row r="374" spans="1:9">
      <c r="A374" s="586" t="s">
        <v>490</v>
      </c>
      <c r="B374" s="620" t="s">
        <v>494</v>
      </c>
      <c r="C374" s="470" t="s">
        <v>1014</v>
      </c>
      <c r="D374" s="630">
        <v>5</v>
      </c>
      <c r="E374" s="119">
        <v>5</v>
      </c>
      <c r="F374" s="618">
        <v>4</v>
      </c>
      <c r="G374" s="608">
        <v>4</v>
      </c>
      <c r="H374" s="470"/>
      <c r="I374" s="470"/>
    </row>
    <row r="375" spans="1:9">
      <c r="A375" s="586" t="s">
        <v>490</v>
      </c>
      <c r="B375" s="620" t="s">
        <v>463</v>
      </c>
      <c r="C375" s="470" t="s">
        <v>818</v>
      </c>
      <c r="D375" s="630">
        <v>0</v>
      </c>
      <c r="E375" s="119">
        <v>0</v>
      </c>
      <c r="F375" s="618">
        <v>0</v>
      </c>
      <c r="G375" s="608">
        <v>0</v>
      </c>
      <c r="H375" s="470"/>
      <c r="I375" s="470"/>
    </row>
    <row r="376" spans="1:9">
      <c r="A376" s="586" t="s">
        <v>490</v>
      </c>
      <c r="B376" s="620" t="s">
        <v>502</v>
      </c>
      <c r="C376" s="470" t="s">
        <v>1015</v>
      </c>
      <c r="D376" s="630">
        <v>3</v>
      </c>
      <c r="E376" s="119">
        <v>2</v>
      </c>
      <c r="F376" s="618">
        <v>2</v>
      </c>
      <c r="G376" s="608">
        <v>2</v>
      </c>
      <c r="H376" s="470"/>
      <c r="I376" s="470"/>
    </row>
    <row r="377" spans="1:9">
      <c r="A377" s="586" t="s">
        <v>490</v>
      </c>
      <c r="B377" s="620" t="s">
        <v>461</v>
      </c>
      <c r="C377" s="470" t="s">
        <v>703</v>
      </c>
      <c r="D377" s="630">
        <v>0</v>
      </c>
      <c r="E377" s="119">
        <v>0</v>
      </c>
      <c r="F377" s="618">
        <v>11</v>
      </c>
      <c r="G377" s="608">
        <v>9</v>
      </c>
      <c r="H377" s="470"/>
      <c r="I377" s="470"/>
    </row>
    <row r="378" spans="1:9">
      <c r="A378" s="586" t="s">
        <v>490</v>
      </c>
      <c r="B378" s="620" t="s">
        <v>510</v>
      </c>
      <c r="C378" s="470" t="s">
        <v>1016</v>
      </c>
      <c r="D378" s="630">
        <v>0</v>
      </c>
      <c r="E378" s="119">
        <v>0</v>
      </c>
      <c r="F378" s="618">
        <v>0</v>
      </c>
      <c r="G378" s="608">
        <v>0</v>
      </c>
      <c r="H378" s="470"/>
      <c r="I378" s="470"/>
    </row>
    <row r="379" spans="1:9">
      <c r="A379" s="586" t="s">
        <v>490</v>
      </c>
      <c r="B379" s="620" t="s">
        <v>507</v>
      </c>
      <c r="C379" s="470" t="s">
        <v>1017</v>
      </c>
      <c r="D379" s="630">
        <v>0</v>
      </c>
      <c r="E379" s="119">
        <v>0</v>
      </c>
      <c r="F379" s="618">
        <v>2</v>
      </c>
      <c r="G379" s="608">
        <v>1</v>
      </c>
      <c r="H379" s="470"/>
      <c r="I379" s="470"/>
    </row>
    <row r="380" spans="1:9">
      <c r="A380" s="586" t="s">
        <v>490</v>
      </c>
      <c r="B380" s="620" t="s">
        <v>504</v>
      </c>
      <c r="C380" s="470" t="s">
        <v>1018</v>
      </c>
      <c r="D380" s="630">
        <v>1</v>
      </c>
      <c r="E380" s="119">
        <v>1</v>
      </c>
      <c r="F380" s="618">
        <v>0</v>
      </c>
      <c r="G380" s="608">
        <v>0</v>
      </c>
      <c r="H380" s="470"/>
      <c r="I380" s="470"/>
    </row>
    <row r="381" spans="1:9">
      <c r="A381" s="586" t="s">
        <v>490</v>
      </c>
      <c r="B381" s="620" t="s">
        <v>461</v>
      </c>
      <c r="C381" s="470" t="s">
        <v>1019</v>
      </c>
      <c r="D381" s="630">
        <v>0</v>
      </c>
      <c r="E381" s="119">
        <v>0</v>
      </c>
      <c r="F381" s="618">
        <v>0</v>
      </c>
      <c r="G381" s="608">
        <v>0</v>
      </c>
      <c r="H381" s="470"/>
      <c r="I381" s="470"/>
    </row>
    <row r="382" spans="1:9">
      <c r="A382" s="586" t="s">
        <v>490</v>
      </c>
      <c r="B382" s="620" t="s">
        <v>491</v>
      </c>
      <c r="C382" s="470" t="s">
        <v>1020</v>
      </c>
      <c r="D382" s="630">
        <v>17</v>
      </c>
      <c r="E382" s="119">
        <v>19</v>
      </c>
      <c r="F382" s="618">
        <v>15</v>
      </c>
      <c r="G382" s="608">
        <v>17</v>
      </c>
      <c r="H382" s="470"/>
      <c r="I382" s="470"/>
    </row>
    <row r="383" spans="1:9">
      <c r="A383" s="586" t="s">
        <v>490</v>
      </c>
      <c r="B383" s="620" t="s">
        <v>469</v>
      </c>
      <c r="C383" s="470" t="s">
        <v>1021</v>
      </c>
      <c r="D383" s="630">
        <v>0</v>
      </c>
      <c r="E383" s="119">
        <v>0</v>
      </c>
      <c r="F383" s="618">
        <v>2</v>
      </c>
      <c r="G383" s="608">
        <v>0</v>
      </c>
      <c r="H383" s="470"/>
      <c r="I383" s="470"/>
    </row>
    <row r="384" spans="1:9">
      <c r="A384" s="586" t="s">
        <v>490</v>
      </c>
      <c r="B384" s="620" t="s">
        <v>463</v>
      </c>
      <c r="C384" s="470" t="s">
        <v>823</v>
      </c>
      <c r="D384" s="630">
        <v>0</v>
      </c>
      <c r="E384" s="119">
        <v>0</v>
      </c>
      <c r="F384" s="618">
        <v>0</v>
      </c>
      <c r="G384" s="608">
        <v>0</v>
      </c>
      <c r="H384" s="470"/>
      <c r="I384" s="470"/>
    </row>
    <row r="385" spans="1:9">
      <c r="A385" s="586" t="s">
        <v>490</v>
      </c>
      <c r="B385" s="620" t="s">
        <v>509</v>
      </c>
      <c r="C385" s="470" t="s">
        <v>1022</v>
      </c>
      <c r="D385" s="630">
        <v>6</v>
      </c>
      <c r="E385" s="119">
        <v>6</v>
      </c>
      <c r="F385" s="618">
        <v>5</v>
      </c>
      <c r="G385" s="608">
        <v>6</v>
      </c>
      <c r="H385" s="470"/>
      <c r="I385" s="470"/>
    </row>
    <row r="386" spans="1:9">
      <c r="A386" s="586" t="s">
        <v>490</v>
      </c>
      <c r="B386" s="620" t="s">
        <v>503</v>
      </c>
      <c r="C386" s="470" t="s">
        <v>1023</v>
      </c>
      <c r="D386" s="630">
        <v>0</v>
      </c>
      <c r="E386" s="119">
        <v>0</v>
      </c>
      <c r="F386" s="618">
        <v>0</v>
      </c>
      <c r="G386" s="608">
        <v>0</v>
      </c>
      <c r="H386" s="470"/>
      <c r="I386" s="470"/>
    </row>
    <row r="387" spans="1:9">
      <c r="A387" s="586" t="s">
        <v>490</v>
      </c>
      <c r="B387" s="620" t="s">
        <v>503</v>
      </c>
      <c r="C387" s="470" t="s">
        <v>1024</v>
      </c>
      <c r="D387" s="630">
        <v>2</v>
      </c>
      <c r="E387" s="119">
        <v>1</v>
      </c>
      <c r="F387" s="618">
        <v>2</v>
      </c>
      <c r="G387" s="608">
        <v>1</v>
      </c>
      <c r="H387" s="470"/>
      <c r="I387" s="470"/>
    </row>
    <row r="388" spans="1:9">
      <c r="A388" s="586" t="s">
        <v>490</v>
      </c>
      <c r="B388" s="620" t="s">
        <v>496</v>
      </c>
      <c r="C388" s="470" t="s">
        <v>1025</v>
      </c>
      <c r="D388" s="630">
        <v>0</v>
      </c>
      <c r="E388" s="119">
        <v>0</v>
      </c>
      <c r="F388" s="618">
        <v>1</v>
      </c>
      <c r="G388" s="608">
        <v>2</v>
      </c>
      <c r="H388" s="470"/>
      <c r="I388" s="470"/>
    </row>
    <row r="389" spans="1:9">
      <c r="A389" s="586" t="s">
        <v>490</v>
      </c>
      <c r="B389" s="620" t="s">
        <v>505</v>
      </c>
      <c r="C389" s="470" t="s">
        <v>1026</v>
      </c>
      <c r="D389" s="630">
        <v>3</v>
      </c>
      <c r="E389" s="119">
        <v>2</v>
      </c>
      <c r="F389" s="618">
        <v>2</v>
      </c>
      <c r="G389" s="608">
        <v>2</v>
      </c>
      <c r="H389" s="470"/>
      <c r="I389" s="470"/>
    </row>
    <row r="390" spans="1:9">
      <c r="A390" s="586" t="s">
        <v>490</v>
      </c>
      <c r="B390" s="620" t="s">
        <v>499</v>
      </c>
      <c r="C390" s="470" t="s">
        <v>1318</v>
      </c>
      <c r="D390" s="630">
        <v>26</v>
      </c>
      <c r="E390" s="119">
        <v>18</v>
      </c>
      <c r="F390" s="618">
        <v>20</v>
      </c>
      <c r="G390" s="608">
        <v>12</v>
      </c>
      <c r="H390" s="470"/>
      <c r="I390" s="470"/>
    </row>
    <row r="391" spans="1:9">
      <c r="A391" s="586" t="s">
        <v>490</v>
      </c>
      <c r="B391" s="620" t="s">
        <v>508</v>
      </c>
      <c r="C391" s="470" t="s">
        <v>1027</v>
      </c>
      <c r="D391" s="630">
        <v>5</v>
      </c>
      <c r="E391" s="119">
        <v>4</v>
      </c>
      <c r="F391" s="618">
        <v>5</v>
      </c>
      <c r="G391" s="608">
        <v>3</v>
      </c>
      <c r="H391" s="470"/>
      <c r="I391" s="470"/>
    </row>
    <row r="392" spans="1:9">
      <c r="A392" s="586" t="s">
        <v>490</v>
      </c>
      <c r="B392" s="620" t="s">
        <v>500</v>
      </c>
      <c r="C392" s="470" t="s">
        <v>1028</v>
      </c>
      <c r="D392" s="630">
        <v>0</v>
      </c>
      <c r="E392" s="119">
        <v>0</v>
      </c>
      <c r="F392" s="618">
        <v>0</v>
      </c>
      <c r="G392" s="608">
        <v>0</v>
      </c>
      <c r="H392" s="470"/>
      <c r="I392" s="470"/>
    </row>
    <row r="393" spans="1:9">
      <c r="A393" s="586" t="s">
        <v>490</v>
      </c>
      <c r="B393" s="620" t="s">
        <v>1298</v>
      </c>
      <c r="C393" s="470" t="s">
        <v>1029</v>
      </c>
      <c r="D393" s="630">
        <v>0</v>
      </c>
      <c r="E393" s="119">
        <v>0</v>
      </c>
      <c r="F393" s="618">
        <v>1</v>
      </c>
      <c r="G393" s="608">
        <v>0</v>
      </c>
      <c r="H393" s="470"/>
      <c r="I393" s="470"/>
    </row>
    <row r="394" spans="1:9">
      <c r="A394" s="586" t="s">
        <v>490</v>
      </c>
      <c r="B394" s="621" t="s">
        <v>497</v>
      </c>
      <c r="C394" s="228" t="s">
        <v>1030</v>
      </c>
      <c r="D394" s="628">
        <v>1</v>
      </c>
      <c r="E394" s="629">
        <v>1</v>
      </c>
      <c r="F394" s="618">
        <v>1</v>
      </c>
      <c r="G394" s="608">
        <v>1</v>
      </c>
      <c r="H394" s="470"/>
      <c r="I394" s="470"/>
    </row>
    <row r="395" spans="1:9">
      <c r="A395" s="586" t="s">
        <v>490</v>
      </c>
      <c r="B395" s="620" t="s">
        <v>498</v>
      </c>
      <c r="C395" s="470" t="s">
        <v>1031</v>
      </c>
      <c r="D395" s="630">
        <v>1</v>
      </c>
      <c r="E395" s="119">
        <v>1</v>
      </c>
      <c r="F395" s="618">
        <v>2</v>
      </c>
      <c r="G395" s="608">
        <v>1</v>
      </c>
      <c r="H395" s="470"/>
      <c r="I395" s="470"/>
    </row>
    <row r="396" spans="1:9">
      <c r="A396" s="586" t="s">
        <v>490</v>
      </c>
      <c r="B396" s="620" t="s">
        <v>511</v>
      </c>
      <c r="C396" s="470" t="s">
        <v>1032</v>
      </c>
      <c r="D396" s="630">
        <v>1</v>
      </c>
      <c r="E396" s="119">
        <v>1</v>
      </c>
      <c r="F396" s="618">
        <v>1</v>
      </c>
      <c r="G396" s="608">
        <v>1</v>
      </c>
      <c r="H396" s="470"/>
      <c r="I396" s="470"/>
    </row>
    <row r="397" spans="1:9">
      <c r="A397" s="586" t="s">
        <v>490</v>
      </c>
      <c r="B397" s="620" t="s">
        <v>501</v>
      </c>
      <c r="C397" s="470" t="s">
        <v>1033</v>
      </c>
      <c r="D397" s="630">
        <v>0</v>
      </c>
      <c r="E397" s="119">
        <v>0</v>
      </c>
      <c r="F397" s="618">
        <v>1</v>
      </c>
      <c r="G397" s="608">
        <v>1</v>
      </c>
      <c r="H397" s="470"/>
      <c r="I397" s="470"/>
    </row>
    <row r="398" spans="1:9" s="579" customFormat="1" ht="15.75" customHeight="1">
      <c r="A398" s="657" t="str">
        <f>CONCATENATE("Total ",A397,":")</f>
        <v>Total Limestone - Limesand:</v>
      </c>
      <c r="B398" s="658"/>
      <c r="C398" s="659"/>
      <c r="D398" s="581">
        <f>SUMIF($A$7:$A$485,$A397,D$7:D$485)</f>
        <v>241</v>
      </c>
      <c r="E398" s="597">
        <f>SUMIF($A$7:$A$485,$A397,E$7:E$485)</f>
        <v>120</v>
      </c>
      <c r="F398" s="581">
        <f>SUMIF($A$7:$A$485,$A397,F$7:F$485)</f>
        <v>267</v>
      </c>
      <c r="G398" s="597">
        <f>SUMIF($A$7:$A$485,$A397,G$7:G$485)</f>
        <v>123</v>
      </c>
      <c r="H398" s="470"/>
      <c r="I398" s="470"/>
    </row>
    <row r="399" spans="1:9">
      <c r="A399" s="586" t="s">
        <v>113</v>
      </c>
      <c r="B399" s="620" t="s">
        <v>112</v>
      </c>
      <c r="C399" s="470" t="s">
        <v>1034</v>
      </c>
      <c r="D399" s="587">
        <v>0</v>
      </c>
      <c r="E399" s="600">
        <v>0</v>
      </c>
      <c r="F399" s="618">
        <v>7</v>
      </c>
      <c r="G399" s="608">
        <v>14</v>
      </c>
      <c r="H399" s="470"/>
      <c r="I399" s="470"/>
    </row>
    <row r="400" spans="1:9">
      <c r="A400" s="586" t="s">
        <v>113</v>
      </c>
      <c r="B400" s="620" t="s">
        <v>114</v>
      </c>
      <c r="C400" s="470" t="s">
        <v>1035</v>
      </c>
      <c r="D400" s="587">
        <v>510</v>
      </c>
      <c r="E400" s="600">
        <v>482</v>
      </c>
      <c r="F400" s="618">
        <v>85</v>
      </c>
      <c r="G400" s="608">
        <v>68</v>
      </c>
      <c r="H400" s="470"/>
      <c r="I400" s="470"/>
    </row>
    <row r="401" spans="1:9">
      <c r="A401" s="586" t="s">
        <v>113</v>
      </c>
      <c r="B401" s="620" t="s">
        <v>112</v>
      </c>
      <c r="C401" s="470" t="s">
        <v>1036</v>
      </c>
      <c r="D401" s="587">
        <v>0</v>
      </c>
      <c r="E401" s="600">
        <v>0</v>
      </c>
      <c r="F401" s="618">
        <v>0</v>
      </c>
      <c r="G401" s="608">
        <v>0</v>
      </c>
      <c r="H401" s="470"/>
      <c r="I401" s="470"/>
    </row>
    <row r="402" spans="1:9" s="579" customFormat="1" ht="15.75" customHeight="1">
      <c r="A402" s="657" t="str">
        <f>CONCATENATE("Total ",A401,":")</f>
        <v>Total Manganese:</v>
      </c>
      <c r="B402" s="658"/>
      <c r="C402" s="659"/>
      <c r="D402" s="581">
        <f>SUMIF($A$7:$A$485,$A401,D$7:D$485)</f>
        <v>510</v>
      </c>
      <c r="E402" s="597">
        <f>SUMIF($A$7:$A$485,$A401,E$7:E$485)</f>
        <v>482</v>
      </c>
      <c r="F402" s="581">
        <f>SUMIF($A$7:$A$485,$A401,F$7:F$485)</f>
        <v>92</v>
      </c>
      <c r="G402" s="597">
        <f>SUMIF($A$7:$A$485,$A401,G$7:G$485)</f>
        <v>82</v>
      </c>
      <c r="H402" s="470"/>
      <c r="I402" s="470"/>
    </row>
    <row r="403" spans="1:9" s="579" customFormat="1">
      <c r="A403" s="586" t="s">
        <v>344</v>
      </c>
      <c r="B403" s="620" t="s">
        <v>107</v>
      </c>
      <c r="C403" s="470" t="s">
        <v>949</v>
      </c>
      <c r="D403" s="587">
        <v>648</v>
      </c>
      <c r="E403" s="600">
        <v>336</v>
      </c>
      <c r="F403" s="618">
        <v>746</v>
      </c>
      <c r="G403" s="608">
        <v>398</v>
      </c>
      <c r="H403" s="470"/>
      <c r="I403" s="470"/>
    </row>
    <row r="404" spans="1:9" s="579" customFormat="1">
      <c r="A404" s="586" t="s">
        <v>344</v>
      </c>
      <c r="B404" s="620" t="s">
        <v>107</v>
      </c>
      <c r="C404" s="470" t="s">
        <v>950</v>
      </c>
      <c r="D404" s="587">
        <v>10</v>
      </c>
      <c r="E404" s="600">
        <v>4</v>
      </c>
      <c r="F404" s="618">
        <v>7</v>
      </c>
      <c r="G404" s="608">
        <v>1</v>
      </c>
      <c r="H404" s="470"/>
      <c r="I404" s="470"/>
    </row>
    <row r="405" spans="1:9" s="579" customFormat="1">
      <c r="A405" s="586" t="s">
        <v>344</v>
      </c>
      <c r="B405" s="620" t="s">
        <v>108</v>
      </c>
      <c r="C405" s="470" t="s">
        <v>951</v>
      </c>
      <c r="D405" s="587">
        <v>517</v>
      </c>
      <c r="E405" s="600">
        <v>508</v>
      </c>
      <c r="F405" s="618">
        <v>351</v>
      </c>
      <c r="G405" s="608">
        <v>364</v>
      </c>
      <c r="H405" s="470"/>
      <c r="I405" s="470"/>
    </row>
    <row r="406" spans="1:9" s="579" customFormat="1">
      <c r="A406" s="586" t="s">
        <v>344</v>
      </c>
      <c r="B406" s="620" t="s">
        <v>107</v>
      </c>
      <c r="C406" s="470" t="s">
        <v>952</v>
      </c>
      <c r="D406" s="587">
        <v>386</v>
      </c>
      <c r="E406" s="600">
        <v>167</v>
      </c>
      <c r="F406" s="618">
        <v>410</v>
      </c>
      <c r="G406" s="608">
        <v>164</v>
      </c>
      <c r="H406" s="470"/>
      <c r="I406" s="470"/>
    </row>
    <row r="407" spans="1:9" s="579" customFormat="1">
      <c r="A407" s="586" t="s">
        <v>344</v>
      </c>
      <c r="B407" s="620" t="s">
        <v>105</v>
      </c>
      <c r="C407" s="470" t="s">
        <v>953</v>
      </c>
      <c r="D407" s="587">
        <v>6</v>
      </c>
      <c r="E407" s="600">
        <v>1</v>
      </c>
      <c r="F407" s="618">
        <v>6</v>
      </c>
      <c r="G407" s="608">
        <v>1</v>
      </c>
      <c r="H407" s="470"/>
      <c r="I407" s="470"/>
    </row>
    <row r="408" spans="1:9" s="579" customFormat="1">
      <c r="A408" s="146" t="s">
        <v>344</v>
      </c>
      <c r="B408" s="621" t="s">
        <v>1325</v>
      </c>
      <c r="C408" s="228" t="s">
        <v>954</v>
      </c>
      <c r="D408" s="628">
        <v>144</v>
      </c>
      <c r="E408" s="629">
        <v>79</v>
      </c>
      <c r="F408" s="618">
        <v>161</v>
      </c>
      <c r="G408" s="608">
        <v>86</v>
      </c>
      <c r="H408" s="470"/>
      <c r="I408" s="470"/>
    </row>
    <row r="409" spans="1:9" s="579" customFormat="1">
      <c r="A409" s="586" t="s">
        <v>344</v>
      </c>
      <c r="B409" s="620" t="s">
        <v>296</v>
      </c>
      <c r="C409" s="470" t="s">
        <v>955</v>
      </c>
      <c r="D409" s="587">
        <v>152</v>
      </c>
      <c r="E409" s="600">
        <v>139</v>
      </c>
      <c r="F409" s="618">
        <v>140</v>
      </c>
      <c r="G409" s="608">
        <v>132</v>
      </c>
      <c r="H409" s="470"/>
      <c r="I409" s="470"/>
    </row>
    <row r="410" spans="1:9" s="579" customFormat="1">
      <c r="A410" s="586" t="s">
        <v>344</v>
      </c>
      <c r="B410" s="620" t="s">
        <v>106</v>
      </c>
      <c r="C410" s="470" t="s">
        <v>956</v>
      </c>
      <c r="D410" s="587">
        <v>352</v>
      </c>
      <c r="E410" s="600">
        <v>169</v>
      </c>
      <c r="F410" s="618">
        <v>187</v>
      </c>
      <c r="G410" s="608">
        <v>82</v>
      </c>
      <c r="H410" s="470"/>
      <c r="I410" s="470"/>
    </row>
    <row r="411" spans="1:9" s="579" customFormat="1">
      <c r="A411" s="586" t="s">
        <v>344</v>
      </c>
      <c r="B411" s="620" t="s">
        <v>297</v>
      </c>
      <c r="C411" s="470" t="s">
        <v>957</v>
      </c>
      <c r="D411" s="587">
        <v>123</v>
      </c>
      <c r="E411" s="600">
        <v>79</v>
      </c>
      <c r="F411" s="618">
        <v>412</v>
      </c>
      <c r="G411" s="608">
        <v>109</v>
      </c>
      <c r="H411" s="470"/>
      <c r="I411" s="470"/>
    </row>
    <row r="412" spans="1:9" s="579" customFormat="1" ht="15.75" customHeight="1">
      <c r="A412" s="657" t="str">
        <f>CONCATENATE("Total ",A411,":")</f>
        <v>Total Mineral Sands:</v>
      </c>
      <c r="B412" s="658"/>
      <c r="C412" s="659"/>
      <c r="D412" s="581">
        <f>SUMIF($A$7:$A$485,$A411,D$7:D$485)</f>
        <v>2338</v>
      </c>
      <c r="E412" s="597">
        <f>SUMIF($A$7:$A$485,$A411,E$7:E$485)</f>
        <v>1482</v>
      </c>
      <c r="F412" s="581">
        <f>SUMIF($A$7:$A$485,$A411,F$7:F$485)</f>
        <v>2420</v>
      </c>
      <c r="G412" s="597">
        <f>SUMIF($A$7:$A$485,$A411,G$7:G$485)</f>
        <v>1337</v>
      </c>
      <c r="H412" s="470"/>
      <c r="I412" s="470"/>
    </row>
    <row r="413" spans="1:9">
      <c r="A413" s="586" t="s">
        <v>17</v>
      </c>
      <c r="B413" s="620" t="s">
        <v>303</v>
      </c>
      <c r="C413" s="470" t="s">
        <v>1037</v>
      </c>
      <c r="D413" s="587">
        <v>0</v>
      </c>
      <c r="E413" s="600">
        <v>0</v>
      </c>
      <c r="F413" s="618">
        <v>143</v>
      </c>
      <c r="G413" s="608">
        <v>119</v>
      </c>
      <c r="H413" s="470"/>
      <c r="I413" s="470"/>
    </row>
    <row r="414" spans="1:9">
      <c r="A414" s="586" t="s">
        <v>17</v>
      </c>
      <c r="B414" s="620" t="s">
        <v>117</v>
      </c>
      <c r="C414" s="470" t="s">
        <v>1038</v>
      </c>
      <c r="D414" s="587">
        <v>0</v>
      </c>
      <c r="E414" s="600">
        <v>0</v>
      </c>
      <c r="F414" s="618">
        <v>10</v>
      </c>
      <c r="G414" s="608">
        <v>7</v>
      </c>
      <c r="H414" s="470"/>
      <c r="I414" s="470"/>
    </row>
    <row r="415" spans="1:9">
      <c r="A415" s="586" t="s">
        <v>17</v>
      </c>
      <c r="B415" s="620" t="s">
        <v>465</v>
      </c>
      <c r="C415" s="470" t="s">
        <v>834</v>
      </c>
      <c r="D415" s="587">
        <v>0</v>
      </c>
      <c r="E415" s="600">
        <v>0</v>
      </c>
      <c r="F415" s="618">
        <v>3</v>
      </c>
      <c r="G415" s="608">
        <v>2</v>
      </c>
      <c r="H415" s="470"/>
      <c r="I415" s="470"/>
    </row>
    <row r="416" spans="1:9">
      <c r="A416" s="586" t="s">
        <v>17</v>
      </c>
      <c r="B416" s="620" t="s">
        <v>302</v>
      </c>
      <c r="C416" s="470" t="s">
        <v>1039</v>
      </c>
      <c r="D416" s="587">
        <v>559</v>
      </c>
      <c r="E416" s="600">
        <v>581</v>
      </c>
      <c r="F416" s="618">
        <v>906</v>
      </c>
      <c r="G416" s="608">
        <v>942</v>
      </c>
      <c r="H416" s="470"/>
      <c r="I416" s="470"/>
    </row>
    <row r="417" spans="1:9">
      <c r="A417" s="586" t="s">
        <v>17</v>
      </c>
      <c r="B417" s="620" t="s">
        <v>304</v>
      </c>
      <c r="C417" s="470" t="s">
        <v>880</v>
      </c>
      <c r="D417" s="587">
        <v>9</v>
      </c>
      <c r="E417" s="600">
        <v>3</v>
      </c>
      <c r="F417" s="618">
        <v>0</v>
      </c>
      <c r="G417" s="608">
        <v>0</v>
      </c>
      <c r="H417" s="470"/>
      <c r="I417" s="470"/>
    </row>
    <row r="418" spans="1:9">
      <c r="A418" s="586" t="s">
        <v>17</v>
      </c>
      <c r="B418" s="620" t="s">
        <v>118</v>
      </c>
      <c r="C418" s="470" t="s">
        <v>1040</v>
      </c>
      <c r="D418" s="587">
        <v>1314</v>
      </c>
      <c r="E418" s="600">
        <v>1262</v>
      </c>
      <c r="F418" s="618">
        <v>1211</v>
      </c>
      <c r="G418" s="608">
        <v>1129</v>
      </c>
      <c r="H418" s="470"/>
      <c r="I418" s="470"/>
    </row>
    <row r="419" spans="1:9">
      <c r="A419" s="586" t="s">
        <v>17</v>
      </c>
      <c r="B419" s="620" t="s">
        <v>304</v>
      </c>
      <c r="C419" s="470" t="s">
        <v>1041</v>
      </c>
      <c r="D419" s="587">
        <v>20</v>
      </c>
      <c r="E419" s="600">
        <v>6</v>
      </c>
      <c r="F419" s="618">
        <v>5</v>
      </c>
      <c r="G419" s="608">
        <v>1</v>
      </c>
      <c r="H419" s="470"/>
      <c r="I419" s="470"/>
    </row>
    <row r="420" spans="1:9">
      <c r="A420" s="586" t="s">
        <v>17</v>
      </c>
      <c r="B420" s="620" t="s">
        <v>303</v>
      </c>
      <c r="C420" s="470" t="s">
        <v>1037</v>
      </c>
      <c r="D420" s="587">
        <v>406</v>
      </c>
      <c r="E420" s="600">
        <v>350</v>
      </c>
      <c r="F420" s="618">
        <v>0</v>
      </c>
      <c r="G420" s="608">
        <v>0</v>
      </c>
      <c r="H420" s="470"/>
      <c r="I420" s="470"/>
    </row>
    <row r="421" spans="1:9">
      <c r="A421" s="586" t="s">
        <v>17</v>
      </c>
      <c r="B421" s="620" t="s">
        <v>302</v>
      </c>
      <c r="C421" s="470" t="s">
        <v>1042</v>
      </c>
      <c r="D421" s="587">
        <v>691</v>
      </c>
      <c r="E421" s="600">
        <v>719</v>
      </c>
      <c r="F421" s="618">
        <v>577</v>
      </c>
      <c r="G421" s="608">
        <v>600</v>
      </c>
      <c r="H421" s="470"/>
      <c r="I421" s="470"/>
    </row>
    <row r="422" spans="1:9">
      <c r="A422" s="586" t="s">
        <v>17</v>
      </c>
      <c r="B422" s="620" t="s">
        <v>306</v>
      </c>
      <c r="C422" s="470" t="s">
        <v>1043</v>
      </c>
      <c r="D422" s="587">
        <v>557</v>
      </c>
      <c r="E422" s="600">
        <v>480</v>
      </c>
      <c r="F422" s="618">
        <v>507</v>
      </c>
      <c r="G422" s="608">
        <v>445</v>
      </c>
      <c r="H422" s="470"/>
      <c r="I422" s="470"/>
    </row>
    <row r="423" spans="1:9">
      <c r="A423" s="586" t="s">
        <v>17</v>
      </c>
      <c r="B423" s="620" t="s">
        <v>115</v>
      </c>
      <c r="C423" s="470" t="s">
        <v>1044</v>
      </c>
      <c r="D423" s="587">
        <v>3</v>
      </c>
      <c r="E423" s="600">
        <v>4</v>
      </c>
      <c r="F423" s="618">
        <v>3</v>
      </c>
      <c r="G423" s="608">
        <v>3</v>
      </c>
      <c r="H423" s="470"/>
      <c r="I423" s="470"/>
    </row>
    <row r="424" spans="1:9">
      <c r="A424" s="586" t="s">
        <v>17</v>
      </c>
      <c r="B424" s="620" t="s">
        <v>302</v>
      </c>
      <c r="C424" s="470" t="s">
        <v>1045</v>
      </c>
      <c r="D424" s="587">
        <v>558</v>
      </c>
      <c r="E424" s="600">
        <v>581</v>
      </c>
      <c r="F424" s="618">
        <v>469</v>
      </c>
      <c r="G424" s="608">
        <v>488</v>
      </c>
      <c r="H424" s="470"/>
      <c r="I424" s="470"/>
    </row>
    <row r="425" spans="1:9">
      <c r="A425" s="586" t="s">
        <v>17</v>
      </c>
      <c r="B425" s="620" t="s">
        <v>302</v>
      </c>
      <c r="C425" s="470" t="s">
        <v>1046</v>
      </c>
      <c r="D425" s="587">
        <v>437</v>
      </c>
      <c r="E425" s="600">
        <v>455</v>
      </c>
      <c r="F425" s="618">
        <v>373</v>
      </c>
      <c r="G425" s="608">
        <v>387</v>
      </c>
      <c r="H425" s="470"/>
      <c r="I425" s="470"/>
    </row>
    <row r="426" spans="1:9">
      <c r="A426" s="586" t="s">
        <v>17</v>
      </c>
      <c r="B426" s="620" t="s">
        <v>304</v>
      </c>
      <c r="C426" s="470" t="s">
        <v>1047</v>
      </c>
      <c r="D426" s="587">
        <v>47</v>
      </c>
      <c r="E426" s="600">
        <v>13</v>
      </c>
      <c r="F426" s="618">
        <v>18</v>
      </c>
      <c r="G426" s="608">
        <v>6</v>
      </c>
      <c r="H426" s="470"/>
      <c r="I426" s="470"/>
    </row>
    <row r="427" spans="1:9">
      <c r="A427" s="586" t="s">
        <v>17</v>
      </c>
      <c r="B427" s="620" t="s">
        <v>307</v>
      </c>
      <c r="C427" s="470" t="s">
        <v>1048</v>
      </c>
      <c r="D427" s="587">
        <v>4</v>
      </c>
      <c r="E427" s="600">
        <v>1</v>
      </c>
      <c r="F427" s="618">
        <v>4</v>
      </c>
      <c r="G427" s="608">
        <v>0</v>
      </c>
      <c r="H427" s="470"/>
      <c r="I427" s="470"/>
    </row>
    <row r="428" spans="1:9">
      <c r="A428" s="586" t="s">
        <v>17</v>
      </c>
      <c r="B428" s="620" t="s">
        <v>512</v>
      </c>
      <c r="C428" s="470" t="s">
        <v>1049</v>
      </c>
      <c r="D428" s="587">
        <v>743</v>
      </c>
      <c r="E428" s="600">
        <v>620</v>
      </c>
      <c r="F428" s="618">
        <v>735</v>
      </c>
      <c r="G428" s="608">
        <v>616</v>
      </c>
      <c r="H428" s="470"/>
      <c r="I428" s="470"/>
    </row>
    <row r="429" spans="1:9">
      <c r="A429" s="586" t="s">
        <v>17</v>
      </c>
      <c r="B429" s="620" t="s">
        <v>306</v>
      </c>
      <c r="C429" s="470" t="s">
        <v>1050</v>
      </c>
      <c r="D429" s="587">
        <v>4</v>
      </c>
      <c r="E429" s="600">
        <v>3</v>
      </c>
      <c r="F429" s="618">
        <v>11</v>
      </c>
      <c r="G429" s="608">
        <v>20</v>
      </c>
      <c r="H429" s="470"/>
      <c r="I429" s="470"/>
    </row>
    <row r="430" spans="1:9">
      <c r="A430" s="586" t="s">
        <v>17</v>
      </c>
      <c r="B430" s="620" t="s">
        <v>1322</v>
      </c>
      <c r="C430" s="470" t="s">
        <v>1051</v>
      </c>
      <c r="D430" s="587">
        <v>6</v>
      </c>
      <c r="E430" s="600">
        <v>4</v>
      </c>
      <c r="F430" s="618">
        <v>3</v>
      </c>
      <c r="G430" s="608">
        <v>1</v>
      </c>
      <c r="H430" s="470"/>
      <c r="I430" s="470"/>
    </row>
    <row r="431" spans="1:9">
      <c r="A431" s="586" t="s">
        <v>17</v>
      </c>
      <c r="B431" s="620" t="s">
        <v>116</v>
      </c>
      <c r="C431" s="470" t="s">
        <v>1052</v>
      </c>
      <c r="D431" s="587">
        <v>100</v>
      </c>
      <c r="E431" s="600">
        <v>136</v>
      </c>
      <c r="F431" s="618">
        <v>63</v>
      </c>
      <c r="G431" s="608">
        <v>64</v>
      </c>
      <c r="H431" s="470"/>
      <c r="I431" s="470"/>
    </row>
    <row r="432" spans="1:9">
      <c r="A432" s="586" t="s">
        <v>17</v>
      </c>
      <c r="B432" s="620" t="s">
        <v>305</v>
      </c>
      <c r="C432" s="470" t="s">
        <v>1053</v>
      </c>
      <c r="D432" s="587">
        <v>6</v>
      </c>
      <c r="E432" s="600">
        <v>6</v>
      </c>
      <c r="F432" s="618">
        <v>8</v>
      </c>
      <c r="G432" s="608">
        <v>6</v>
      </c>
      <c r="H432" s="470"/>
      <c r="I432" s="470"/>
    </row>
    <row r="433" spans="1:9">
      <c r="A433" s="586" t="s">
        <v>17</v>
      </c>
      <c r="B433" s="620" t="s">
        <v>117</v>
      </c>
      <c r="C433" s="470" t="s">
        <v>1054</v>
      </c>
      <c r="D433" s="587">
        <v>0</v>
      </c>
      <c r="E433" s="600">
        <v>0</v>
      </c>
      <c r="F433" s="618">
        <v>0</v>
      </c>
      <c r="G433" s="608">
        <v>0</v>
      </c>
      <c r="H433" s="470"/>
      <c r="I433" s="470"/>
    </row>
    <row r="434" spans="1:9">
      <c r="A434" s="586" t="s">
        <v>17</v>
      </c>
      <c r="B434" s="620" t="s">
        <v>119</v>
      </c>
      <c r="C434" s="470" t="s">
        <v>1055</v>
      </c>
      <c r="D434" s="587">
        <v>85</v>
      </c>
      <c r="E434" s="600">
        <v>90</v>
      </c>
      <c r="F434" s="618">
        <v>161</v>
      </c>
      <c r="G434" s="608">
        <v>145</v>
      </c>
      <c r="H434" s="470"/>
      <c r="I434" s="470"/>
    </row>
    <row r="435" spans="1:9">
      <c r="A435" s="586" t="s">
        <v>17</v>
      </c>
      <c r="B435" s="620" t="s">
        <v>117</v>
      </c>
      <c r="C435" s="470" t="s">
        <v>1038</v>
      </c>
      <c r="D435" s="587">
        <v>126</v>
      </c>
      <c r="E435" s="600">
        <v>133</v>
      </c>
      <c r="F435" s="618">
        <v>0</v>
      </c>
      <c r="G435" s="608">
        <v>0</v>
      </c>
      <c r="H435" s="470"/>
      <c r="I435" s="470"/>
    </row>
    <row r="436" spans="1:9">
      <c r="A436" s="586" t="s">
        <v>17</v>
      </c>
      <c r="B436" s="620" t="s">
        <v>303</v>
      </c>
      <c r="C436" s="470" t="s">
        <v>1056</v>
      </c>
      <c r="D436" s="587">
        <v>199</v>
      </c>
      <c r="E436" s="600">
        <v>162</v>
      </c>
      <c r="F436" s="618">
        <v>8</v>
      </c>
      <c r="G436" s="608">
        <v>5</v>
      </c>
      <c r="H436" s="470"/>
      <c r="I436" s="470"/>
    </row>
    <row r="437" spans="1:9">
      <c r="A437" s="586" t="s">
        <v>17</v>
      </c>
      <c r="B437" s="620" t="s">
        <v>513</v>
      </c>
      <c r="C437" s="470" t="s">
        <v>1057</v>
      </c>
      <c r="D437" s="587">
        <v>168</v>
      </c>
      <c r="E437" s="600">
        <v>318</v>
      </c>
      <c r="F437" s="618">
        <v>231</v>
      </c>
      <c r="G437" s="608">
        <v>451</v>
      </c>
      <c r="H437" s="470"/>
      <c r="I437" s="470"/>
    </row>
    <row r="438" spans="1:9">
      <c r="A438" s="586" t="s">
        <v>17</v>
      </c>
      <c r="B438" s="620" t="s">
        <v>1316</v>
      </c>
      <c r="C438" s="470" t="s">
        <v>1058</v>
      </c>
      <c r="D438" s="587">
        <v>69</v>
      </c>
      <c r="E438" s="600">
        <v>22</v>
      </c>
      <c r="F438" s="618">
        <v>79</v>
      </c>
      <c r="G438" s="608">
        <v>25</v>
      </c>
      <c r="H438" s="470"/>
      <c r="I438" s="470"/>
    </row>
    <row r="439" spans="1:9" s="579" customFormat="1" ht="15.75" customHeight="1">
      <c r="A439" s="657" t="str">
        <f>CONCATENATE("Total ",A438,":")</f>
        <v>Total Nickel:</v>
      </c>
      <c r="B439" s="658"/>
      <c r="C439" s="659"/>
      <c r="D439" s="581">
        <f>SUMIF($A$7:$A$485,$A438,D$7:D$485)</f>
        <v>6111</v>
      </c>
      <c r="E439" s="597">
        <f>SUMIF($A$7:$A$485,$A438,E$7:E$485)</f>
        <v>5949</v>
      </c>
      <c r="F439" s="581">
        <f>SUMIF($A$7:$A$485,$A438,F$7:F$485)</f>
        <v>5528</v>
      </c>
      <c r="G439" s="597">
        <f>SUMIF($A$7:$A$485,$A438,G$7:G$485)</f>
        <v>5462</v>
      </c>
      <c r="H439" s="470"/>
      <c r="I439" s="470"/>
    </row>
    <row r="440" spans="1:9">
      <c r="A440" s="586" t="s">
        <v>132</v>
      </c>
      <c r="B440" s="620" t="s">
        <v>515</v>
      </c>
      <c r="C440" s="470" t="s">
        <v>1059</v>
      </c>
      <c r="D440" s="587">
        <v>157</v>
      </c>
      <c r="E440" s="600">
        <v>179</v>
      </c>
      <c r="F440" s="618">
        <v>160</v>
      </c>
      <c r="G440" s="608">
        <v>184</v>
      </c>
      <c r="H440" s="470"/>
      <c r="I440" s="470"/>
    </row>
    <row r="441" spans="1:9" s="579" customFormat="1" ht="15.75" customHeight="1">
      <c r="A441" s="657" t="str">
        <f>CONCATENATE("Total ",A440,":")</f>
        <v>Total Phosphate:</v>
      </c>
      <c r="B441" s="658"/>
      <c r="C441" s="659"/>
      <c r="D441" s="581">
        <f>SUMIF($A$7:$A$485,$A440,D$7:D$485)</f>
        <v>157</v>
      </c>
      <c r="E441" s="597">
        <f>SUMIF($A$7:$A$485,$A440,E$7:E$485)</f>
        <v>179</v>
      </c>
      <c r="F441" s="581">
        <f>SUMIF($A$7:$A$485,$A440,F$7:F$485)</f>
        <v>160</v>
      </c>
      <c r="G441" s="597">
        <f>SUMIF($A$7:$A$485,$A440,G$7:G$485)</f>
        <v>184</v>
      </c>
      <c r="H441" s="470"/>
      <c r="I441" s="470"/>
    </row>
    <row r="442" spans="1:9">
      <c r="A442" s="586" t="s">
        <v>516</v>
      </c>
      <c r="B442" s="620" t="s">
        <v>517</v>
      </c>
      <c r="C442" s="470" t="s">
        <v>1060</v>
      </c>
      <c r="D442" s="587">
        <v>0</v>
      </c>
      <c r="E442" s="600">
        <v>0</v>
      </c>
      <c r="F442" s="618">
        <v>4</v>
      </c>
      <c r="G442" s="608">
        <v>4</v>
      </c>
      <c r="H442" s="470"/>
      <c r="I442" s="470"/>
    </row>
    <row r="443" spans="1:9" s="579" customFormat="1" ht="15.75" customHeight="1">
      <c r="A443" s="657" t="str">
        <f>CONCATENATE("Total ",A442,":")</f>
        <v>Total Potash:</v>
      </c>
      <c r="B443" s="658"/>
      <c r="C443" s="659"/>
      <c r="D443" s="581">
        <f>SUMIF($A$7:$A$485,$A442,D$7:D$485)</f>
        <v>0</v>
      </c>
      <c r="E443" s="597">
        <f>SUMIF($A$7:$A$485,$A442,E$7:E$485)</f>
        <v>0</v>
      </c>
      <c r="F443" s="581">
        <f>SUMIF($A$7:$A$485,$A442,F$7:F$485)</f>
        <v>4</v>
      </c>
      <c r="G443" s="597">
        <f>SUMIF($A$7:$A$485,$A442,G$7:G$485)</f>
        <v>4</v>
      </c>
      <c r="H443" s="470"/>
      <c r="I443" s="470"/>
    </row>
    <row r="444" spans="1:9">
      <c r="A444" s="586" t="s">
        <v>133</v>
      </c>
      <c r="B444" s="620" t="s">
        <v>518</v>
      </c>
      <c r="C444" s="470" t="s">
        <v>1061</v>
      </c>
      <c r="D444" s="587">
        <v>178</v>
      </c>
      <c r="E444" s="600">
        <v>106</v>
      </c>
      <c r="F444" s="618">
        <v>151</v>
      </c>
      <c r="G444" s="608">
        <v>101</v>
      </c>
      <c r="H444" s="470"/>
      <c r="I444" s="470"/>
    </row>
    <row r="445" spans="1:9" s="579" customFormat="1" ht="15.75" customHeight="1">
      <c r="A445" s="657" t="str">
        <f>CONCATENATE("Total ",A444,":")</f>
        <v>Total Rare Earths:</v>
      </c>
      <c r="B445" s="658"/>
      <c r="C445" s="659"/>
      <c r="D445" s="581">
        <f>SUMIF($A$7:$A$485,$A444,D$7:D$485)</f>
        <v>178</v>
      </c>
      <c r="E445" s="597">
        <f>SUMIF($A$7:$A$485,$A444,E$7:E$485)</f>
        <v>106</v>
      </c>
      <c r="F445" s="581">
        <f>SUMIF($A$7:$A$485,$A444,F$7:F$485)</f>
        <v>151</v>
      </c>
      <c r="G445" s="597">
        <f>SUMIF($A$7:$A$485,$A444,G$7:G$485)</f>
        <v>101</v>
      </c>
      <c r="H445" s="470"/>
      <c r="I445" s="470"/>
    </row>
    <row r="446" spans="1:9">
      <c r="A446" s="586" t="s">
        <v>120</v>
      </c>
      <c r="B446" s="620" t="s">
        <v>519</v>
      </c>
      <c r="C446" s="470" t="s">
        <v>1062</v>
      </c>
      <c r="D446" s="630">
        <v>179</v>
      </c>
      <c r="E446" s="119">
        <v>130</v>
      </c>
      <c r="F446" s="618">
        <v>207</v>
      </c>
      <c r="G446" s="608">
        <v>129</v>
      </c>
      <c r="H446" s="470"/>
      <c r="I446" s="470"/>
    </row>
    <row r="447" spans="1:9">
      <c r="A447" s="586" t="s">
        <v>120</v>
      </c>
      <c r="B447" s="621" t="s">
        <v>519</v>
      </c>
      <c r="C447" s="228" t="s">
        <v>1063</v>
      </c>
      <c r="D447" s="628">
        <v>223</v>
      </c>
      <c r="E447" s="629">
        <v>128</v>
      </c>
      <c r="F447" s="618">
        <v>240</v>
      </c>
      <c r="G447" s="608">
        <v>116</v>
      </c>
      <c r="H447" s="470"/>
      <c r="I447" s="470"/>
    </row>
    <row r="448" spans="1:9">
      <c r="A448" s="586" t="s">
        <v>120</v>
      </c>
      <c r="B448" s="620" t="s">
        <v>519</v>
      </c>
      <c r="C448" s="470" t="s">
        <v>1064</v>
      </c>
      <c r="D448" s="630">
        <v>202</v>
      </c>
      <c r="E448" s="119">
        <v>132</v>
      </c>
      <c r="F448" s="618">
        <v>136</v>
      </c>
      <c r="G448" s="608">
        <v>86</v>
      </c>
      <c r="H448" s="470"/>
      <c r="I448" s="470"/>
    </row>
    <row r="449" spans="1:9">
      <c r="A449" s="586" t="s">
        <v>120</v>
      </c>
      <c r="B449" s="620" t="s">
        <v>521</v>
      </c>
      <c r="C449" s="470" t="s">
        <v>1065</v>
      </c>
      <c r="D449" s="630">
        <v>91</v>
      </c>
      <c r="E449" s="119">
        <v>84</v>
      </c>
      <c r="F449" s="618">
        <v>76</v>
      </c>
      <c r="G449" s="608">
        <v>68</v>
      </c>
      <c r="H449" s="470"/>
      <c r="I449" s="470"/>
    </row>
    <row r="450" spans="1:9">
      <c r="A450" s="586" t="s">
        <v>120</v>
      </c>
      <c r="B450" s="620" t="s">
        <v>522</v>
      </c>
      <c r="C450" s="470" t="s">
        <v>1066</v>
      </c>
      <c r="D450" s="630">
        <v>20</v>
      </c>
      <c r="E450" s="119">
        <v>12</v>
      </c>
      <c r="F450" s="618">
        <v>21</v>
      </c>
      <c r="G450" s="608">
        <v>13</v>
      </c>
      <c r="H450" s="470"/>
      <c r="I450" s="470"/>
    </row>
    <row r="451" spans="1:9">
      <c r="A451" s="586" t="s">
        <v>120</v>
      </c>
      <c r="B451" s="620" t="s">
        <v>121</v>
      </c>
      <c r="C451" s="470" t="s">
        <v>1067</v>
      </c>
      <c r="D451" s="630">
        <v>1</v>
      </c>
      <c r="E451" s="119">
        <v>0</v>
      </c>
      <c r="F451" s="618">
        <v>1</v>
      </c>
      <c r="G451" s="608">
        <v>0</v>
      </c>
      <c r="H451" s="470"/>
      <c r="I451" s="470"/>
    </row>
    <row r="452" spans="1:9">
      <c r="A452" s="586" t="s">
        <v>120</v>
      </c>
      <c r="B452" s="621" t="s">
        <v>520</v>
      </c>
      <c r="C452" s="228" t="s">
        <v>1068</v>
      </c>
      <c r="D452" s="628">
        <v>193</v>
      </c>
      <c r="E452" s="629">
        <v>120</v>
      </c>
      <c r="F452" s="618">
        <v>154</v>
      </c>
      <c r="G452" s="608">
        <v>115</v>
      </c>
      <c r="H452" s="470"/>
      <c r="I452" s="470"/>
    </row>
    <row r="453" spans="1:9" s="579" customFormat="1" ht="15.75" customHeight="1">
      <c r="A453" s="657" t="str">
        <f>CONCATENATE("Total ",A452,":")</f>
        <v>Total Salt:</v>
      </c>
      <c r="B453" s="658"/>
      <c r="C453" s="659"/>
      <c r="D453" s="581">
        <f>SUMIF($A$7:$A$485,$A452,D$7:D$485)</f>
        <v>909</v>
      </c>
      <c r="E453" s="597">
        <f>SUMIF($A$7:$A$485,$A452,E$7:E$485)</f>
        <v>606</v>
      </c>
      <c r="F453" s="581">
        <f>SUMIF($A$7:$A$485,$A452,F$7:F$485)</f>
        <v>835</v>
      </c>
      <c r="G453" s="597">
        <f>SUMIF($A$7:$A$485,$A452,G$7:G$485)</f>
        <v>527</v>
      </c>
      <c r="H453" s="470"/>
      <c r="I453" s="470"/>
    </row>
    <row r="454" spans="1:9">
      <c r="A454" s="586" t="s">
        <v>1317</v>
      </c>
      <c r="B454" s="620" t="s">
        <v>525</v>
      </c>
      <c r="C454" s="470" t="s">
        <v>1069</v>
      </c>
      <c r="D454" s="587">
        <v>156</v>
      </c>
      <c r="E454" s="600">
        <v>204</v>
      </c>
      <c r="F454" s="618">
        <v>172</v>
      </c>
      <c r="G454" s="608">
        <v>218</v>
      </c>
      <c r="H454" s="470"/>
      <c r="I454" s="470"/>
    </row>
    <row r="455" spans="1:9">
      <c r="A455" s="586" t="s">
        <v>1317</v>
      </c>
      <c r="B455" s="620" t="s">
        <v>1299</v>
      </c>
      <c r="C455" s="470" t="s">
        <v>1070</v>
      </c>
      <c r="D455" s="587">
        <v>111</v>
      </c>
      <c r="E455" s="600">
        <v>54</v>
      </c>
      <c r="F455" s="618">
        <v>312</v>
      </c>
      <c r="G455" s="608">
        <v>68</v>
      </c>
      <c r="H455" s="470"/>
      <c r="I455" s="470"/>
    </row>
    <row r="456" spans="1:9">
      <c r="A456" s="586" t="s">
        <v>1317</v>
      </c>
      <c r="B456" s="620" t="s">
        <v>524</v>
      </c>
      <c r="C456" s="470" t="s">
        <v>1071</v>
      </c>
      <c r="D456" s="587">
        <v>22</v>
      </c>
      <c r="E456" s="600">
        <v>15</v>
      </c>
      <c r="F456" s="618">
        <v>20</v>
      </c>
      <c r="G456" s="608">
        <v>17</v>
      </c>
      <c r="H456" s="470"/>
      <c r="I456" s="470"/>
    </row>
    <row r="457" spans="1:9">
      <c r="A457" s="586" t="s">
        <v>1317</v>
      </c>
      <c r="B457" s="620" t="s">
        <v>523</v>
      </c>
      <c r="C457" s="470" t="s">
        <v>1072</v>
      </c>
      <c r="D457" s="587">
        <v>40</v>
      </c>
      <c r="E457" s="600">
        <v>14</v>
      </c>
      <c r="F457" s="618">
        <v>34</v>
      </c>
      <c r="G457" s="608">
        <v>15</v>
      </c>
      <c r="H457" s="470"/>
      <c r="I457" s="470"/>
    </row>
    <row r="458" spans="1:9">
      <c r="A458" s="586" t="s">
        <v>1317</v>
      </c>
      <c r="B458" s="620" t="s">
        <v>462</v>
      </c>
      <c r="C458" s="470" t="s">
        <v>1073</v>
      </c>
      <c r="D458" s="587">
        <v>2</v>
      </c>
      <c r="E458" s="600">
        <v>1</v>
      </c>
      <c r="F458" s="618">
        <v>1</v>
      </c>
      <c r="G458" s="608">
        <v>1</v>
      </c>
      <c r="H458" s="470"/>
      <c r="I458" s="470"/>
    </row>
    <row r="459" spans="1:9">
      <c r="A459" s="586" t="s">
        <v>1317</v>
      </c>
      <c r="B459" s="620" t="s">
        <v>464</v>
      </c>
      <c r="C459" s="470" t="s">
        <v>750</v>
      </c>
      <c r="D459" s="587">
        <v>4</v>
      </c>
      <c r="E459" s="600">
        <v>1</v>
      </c>
      <c r="F459" s="618">
        <v>0</v>
      </c>
      <c r="G459" s="608">
        <v>0</v>
      </c>
      <c r="H459" s="470"/>
      <c r="I459" s="470"/>
    </row>
    <row r="460" spans="1:9" s="579" customFormat="1" ht="15.75" customHeight="1">
      <c r="A460" s="657" t="str">
        <f>CONCATENATE("Total ",A459,":")</f>
        <v>Total Silica and Silica Sand:</v>
      </c>
      <c r="B460" s="658"/>
      <c r="C460" s="659"/>
      <c r="D460" s="581">
        <f>SUMIF($A$7:$A$485,$A459,D$7:D$485)</f>
        <v>335</v>
      </c>
      <c r="E460" s="597">
        <f>SUMIF($A$7:$A$485,$A459,E$7:E$485)</f>
        <v>289</v>
      </c>
      <c r="F460" s="581">
        <f>SUMIF($A$7:$A$485,$A459,F$7:F$485)</f>
        <v>539</v>
      </c>
      <c r="G460" s="597">
        <f>SUMIF($A$7:$A$485,$A459,G$7:G$485)</f>
        <v>319</v>
      </c>
      <c r="H460" s="470"/>
      <c r="I460" s="470"/>
    </row>
    <row r="461" spans="1:9">
      <c r="A461" s="586" t="s">
        <v>135</v>
      </c>
      <c r="B461" s="620" t="s">
        <v>526</v>
      </c>
      <c r="C461" s="470" t="s">
        <v>1074</v>
      </c>
      <c r="D461" s="587">
        <v>17</v>
      </c>
      <c r="E461" s="600">
        <v>4</v>
      </c>
      <c r="F461" s="618">
        <v>12</v>
      </c>
      <c r="G461" s="608">
        <v>2</v>
      </c>
      <c r="H461" s="470"/>
      <c r="I461" s="470"/>
    </row>
    <row r="462" spans="1:9" s="579" customFormat="1" ht="15.75" customHeight="1">
      <c r="A462" s="657" t="str">
        <f>CONCATENATE("Total ",A461,":")</f>
        <v>Total Silver:</v>
      </c>
      <c r="B462" s="658"/>
      <c r="C462" s="659"/>
      <c r="D462" s="581">
        <f>SUMIF($A$7:$A$485,$A461,D$7:D$485)</f>
        <v>17</v>
      </c>
      <c r="E462" s="597">
        <f>SUMIF($A$7:$A$485,$A461,E$7:E$485)</f>
        <v>4</v>
      </c>
      <c r="F462" s="581">
        <f>SUMIF($A$7:$A$485,$A461,F$7:F$485)</f>
        <v>12</v>
      </c>
      <c r="G462" s="597">
        <f>SUMIF($A$7:$A$485,$A461,G$7:G$485)</f>
        <v>2</v>
      </c>
      <c r="H462" s="470"/>
      <c r="I462" s="470"/>
    </row>
    <row r="463" spans="1:9">
      <c r="A463" s="586" t="s">
        <v>136</v>
      </c>
      <c r="B463" s="620" t="s">
        <v>527</v>
      </c>
      <c r="C463" s="470" t="s">
        <v>1075</v>
      </c>
      <c r="D463" s="587">
        <v>50</v>
      </c>
      <c r="E463" s="600">
        <v>19</v>
      </c>
      <c r="F463" s="618">
        <v>54</v>
      </c>
      <c r="G463" s="608">
        <v>23</v>
      </c>
      <c r="H463" s="470"/>
      <c r="I463" s="470"/>
    </row>
    <row r="464" spans="1:9">
      <c r="A464" s="586" t="s">
        <v>136</v>
      </c>
      <c r="B464" s="620" t="s">
        <v>1300</v>
      </c>
      <c r="C464" s="470" t="s">
        <v>1076</v>
      </c>
      <c r="D464" s="587">
        <v>9</v>
      </c>
      <c r="E464" s="600">
        <v>4</v>
      </c>
      <c r="F464" s="618">
        <v>14</v>
      </c>
      <c r="G464" s="608">
        <v>13</v>
      </c>
      <c r="H464" s="470"/>
      <c r="I464" s="470"/>
    </row>
    <row r="465" spans="1:9">
      <c r="A465" s="586" t="s">
        <v>136</v>
      </c>
      <c r="B465" s="620" t="s">
        <v>471</v>
      </c>
      <c r="C465" s="470" t="s">
        <v>1077</v>
      </c>
      <c r="D465" s="587">
        <v>30</v>
      </c>
      <c r="E465" s="600">
        <v>11</v>
      </c>
      <c r="F465" s="618">
        <v>21</v>
      </c>
      <c r="G465" s="608">
        <v>9</v>
      </c>
      <c r="H465" s="470"/>
      <c r="I465" s="470"/>
    </row>
    <row r="466" spans="1:9" s="579" customFormat="1" ht="15.75" customHeight="1">
      <c r="A466" s="657" t="str">
        <f>CONCATENATE("Total ",A465,":")</f>
        <v>Total Talc:</v>
      </c>
      <c r="B466" s="658"/>
      <c r="C466" s="659"/>
      <c r="D466" s="581">
        <f>SUMIF($A$7:$A$485,$A465,D$7:D$485)</f>
        <v>89</v>
      </c>
      <c r="E466" s="597">
        <f>SUMIF($A$7:$A$485,$A465,E$7:E$485)</f>
        <v>34</v>
      </c>
      <c r="F466" s="581">
        <f>SUMIF($A$7:$A$485,$A465,F$7:F$485)</f>
        <v>89</v>
      </c>
      <c r="G466" s="597">
        <f>SUMIF($A$7:$A$485,$A465,G$7:G$485)</f>
        <v>45</v>
      </c>
      <c r="H466" s="470"/>
      <c r="I466" s="470"/>
    </row>
    <row r="467" spans="1:9">
      <c r="A467" s="586" t="s">
        <v>122</v>
      </c>
      <c r="B467" s="620" t="s">
        <v>123</v>
      </c>
      <c r="C467" s="470" t="s">
        <v>1078</v>
      </c>
      <c r="D467" s="587">
        <v>10</v>
      </c>
      <c r="E467" s="600">
        <v>15</v>
      </c>
      <c r="F467" s="618">
        <v>6</v>
      </c>
      <c r="G467" s="608">
        <v>9</v>
      </c>
      <c r="H467" s="470"/>
      <c r="I467" s="470"/>
    </row>
    <row r="468" spans="1:9">
      <c r="A468" s="586" t="s">
        <v>122</v>
      </c>
      <c r="B468" s="620" t="s">
        <v>124</v>
      </c>
      <c r="C468" s="470" t="s">
        <v>1079</v>
      </c>
      <c r="D468" s="587">
        <v>12</v>
      </c>
      <c r="E468" s="600">
        <v>15</v>
      </c>
      <c r="F468" s="618">
        <v>468</v>
      </c>
      <c r="G468" s="608">
        <v>264</v>
      </c>
      <c r="H468" s="470"/>
      <c r="I468" s="470"/>
    </row>
    <row r="469" spans="1:9">
      <c r="A469" s="586" t="s">
        <v>122</v>
      </c>
      <c r="B469" s="620" t="s">
        <v>309</v>
      </c>
      <c r="C469" s="470" t="s">
        <v>1080</v>
      </c>
      <c r="D469" s="587">
        <v>8</v>
      </c>
      <c r="E469" s="600">
        <v>9</v>
      </c>
      <c r="F469" s="618">
        <v>4</v>
      </c>
      <c r="G469" s="608">
        <v>3</v>
      </c>
      <c r="H469" s="470"/>
      <c r="I469" s="470"/>
    </row>
    <row r="470" spans="1:9">
      <c r="A470" s="586" t="s">
        <v>122</v>
      </c>
      <c r="B470" s="620" t="s">
        <v>308</v>
      </c>
      <c r="C470" s="470" t="s">
        <v>1081</v>
      </c>
      <c r="D470" s="587">
        <v>36</v>
      </c>
      <c r="E470" s="600">
        <v>63</v>
      </c>
      <c r="F470" s="618">
        <v>30</v>
      </c>
      <c r="G470" s="608">
        <v>51</v>
      </c>
      <c r="H470" s="470"/>
      <c r="I470" s="470"/>
    </row>
    <row r="471" spans="1:9">
      <c r="A471" s="586" t="s">
        <v>122</v>
      </c>
      <c r="B471" s="620" t="s">
        <v>1301</v>
      </c>
      <c r="C471" s="470" t="s">
        <v>1082</v>
      </c>
      <c r="D471" s="587">
        <v>7</v>
      </c>
      <c r="E471" s="600">
        <v>4</v>
      </c>
      <c r="F471" s="618">
        <v>79</v>
      </c>
      <c r="G471" s="608">
        <v>87</v>
      </c>
      <c r="H471" s="470"/>
      <c r="I471" s="470"/>
    </row>
    <row r="472" spans="1:9">
      <c r="A472" s="586" t="s">
        <v>122</v>
      </c>
      <c r="B472" s="620" t="s">
        <v>528</v>
      </c>
      <c r="C472" s="470" t="s">
        <v>1083</v>
      </c>
      <c r="D472" s="587">
        <v>42</v>
      </c>
      <c r="E472" s="600">
        <v>45</v>
      </c>
      <c r="F472" s="618">
        <v>38</v>
      </c>
      <c r="G472" s="608">
        <v>43</v>
      </c>
      <c r="H472" s="470"/>
      <c r="I472" s="470"/>
    </row>
    <row r="473" spans="1:9">
      <c r="A473" s="586" t="s">
        <v>122</v>
      </c>
      <c r="B473" s="620" t="s">
        <v>112</v>
      </c>
      <c r="C473" s="470" t="s">
        <v>1084</v>
      </c>
      <c r="D473" s="587">
        <v>0</v>
      </c>
      <c r="E473" s="600">
        <v>0</v>
      </c>
      <c r="F473" s="618">
        <v>112</v>
      </c>
      <c r="G473" s="608">
        <v>223</v>
      </c>
      <c r="H473" s="470"/>
      <c r="I473" s="470"/>
    </row>
    <row r="474" spans="1:9">
      <c r="A474" s="586" t="s">
        <v>122</v>
      </c>
      <c r="B474" s="620" t="s">
        <v>310</v>
      </c>
      <c r="C474" s="470" t="s">
        <v>1085</v>
      </c>
      <c r="D474" s="587">
        <v>371</v>
      </c>
      <c r="E474" s="600">
        <v>231</v>
      </c>
      <c r="F474" s="618">
        <v>0</v>
      </c>
      <c r="G474" s="608">
        <v>0</v>
      </c>
      <c r="H474" s="470"/>
      <c r="I474" s="470"/>
    </row>
    <row r="475" spans="1:9" s="579" customFormat="1" ht="15.75" customHeight="1">
      <c r="A475" s="657" t="str">
        <f>CONCATENATE("Total ",A474,":")</f>
        <v>Total Tin, Tantalum and Lithium:</v>
      </c>
      <c r="B475" s="658"/>
      <c r="C475" s="659"/>
      <c r="D475" s="581">
        <f>SUMIF($A$7:$A$485,$A474,D$7:D$485)</f>
        <v>486</v>
      </c>
      <c r="E475" s="597">
        <f>SUMIF($A$7:$A$485,$A474,E$7:E$485)</f>
        <v>382</v>
      </c>
      <c r="F475" s="581">
        <f>SUMIF($A$7:$A$485,$A474,F$7:F$485)</f>
        <v>737</v>
      </c>
      <c r="G475" s="597">
        <f>SUMIF($A$7:$A$485,$A474,G$7:G$485)</f>
        <v>680</v>
      </c>
      <c r="H475" s="470"/>
      <c r="I475" s="470"/>
    </row>
    <row r="476" spans="1:9">
      <c r="A476" s="586" t="s">
        <v>446</v>
      </c>
      <c r="B476" s="620" t="s">
        <v>534</v>
      </c>
      <c r="C476" s="470" t="s">
        <v>1090</v>
      </c>
      <c r="D476" s="587">
        <v>1</v>
      </c>
      <c r="E476" s="600">
        <v>2</v>
      </c>
      <c r="F476" s="618">
        <v>2</v>
      </c>
      <c r="G476" s="608">
        <v>3</v>
      </c>
      <c r="H476" s="470"/>
      <c r="I476" s="470"/>
    </row>
    <row r="477" spans="1:9" s="579" customFormat="1" ht="15.75" customHeight="1">
      <c r="A477" s="657" t="str">
        <f>CONCATENATE("Total ",A476,":")</f>
        <v>Total Uranium:</v>
      </c>
      <c r="B477" s="658"/>
      <c r="C477" s="659"/>
      <c r="D477" s="581">
        <f>SUMIF($A$7:$A$485,$A476,D$7:D$485)</f>
        <v>1</v>
      </c>
      <c r="E477" s="597">
        <f>SUMIF($A$7:$A$485,$A476,E$7:E$485)</f>
        <v>2</v>
      </c>
      <c r="F477" s="581">
        <f>SUMIF($A$7:$A$485,$A476,F$7:F$485)</f>
        <v>2</v>
      </c>
      <c r="G477" s="597">
        <f>SUMIF($A$7:$A$485,$A476,G$7:G$485)</f>
        <v>3</v>
      </c>
      <c r="H477" s="470"/>
      <c r="I477" s="470"/>
    </row>
    <row r="478" spans="1:9">
      <c r="A478" s="586" t="s">
        <v>535</v>
      </c>
      <c r="B478" s="620" t="s">
        <v>536</v>
      </c>
      <c r="C478" s="470" t="s">
        <v>1091</v>
      </c>
      <c r="D478" s="587">
        <v>13</v>
      </c>
      <c r="E478" s="600">
        <v>27</v>
      </c>
      <c r="F478" s="618">
        <v>5</v>
      </c>
      <c r="G478" s="608">
        <v>5</v>
      </c>
      <c r="H478" s="470"/>
      <c r="I478" s="470"/>
    </row>
    <row r="479" spans="1:9" s="579" customFormat="1" ht="15.75" customHeight="1">
      <c r="A479" s="657" t="str">
        <f>CONCATENATE("Total ",A478,":")</f>
        <v>Total Vanadium - Titanium:</v>
      </c>
      <c r="B479" s="658"/>
      <c r="C479" s="659"/>
      <c r="D479" s="581">
        <f>SUMIF($A$7:$A$485,$A478,D$7:D$485)</f>
        <v>13</v>
      </c>
      <c r="E479" s="597">
        <f>SUMIF($A$7:$A$485,$A478,E$7:E$485)</f>
        <v>27</v>
      </c>
      <c r="F479" s="581">
        <f>SUMIF($A$7:$A$485,$A478,F$7:F$485)</f>
        <v>5</v>
      </c>
      <c r="G479" s="597">
        <f>SUMIF($A$7:$A$485,$A478,G$7:G$485)</f>
        <v>5</v>
      </c>
      <c r="H479" s="470"/>
      <c r="I479" s="470"/>
    </row>
    <row r="480" spans="1:9">
      <c r="A480" s="586" t="s">
        <v>103</v>
      </c>
      <c r="B480" s="620" t="s">
        <v>529</v>
      </c>
      <c r="C480" s="470" t="s">
        <v>530</v>
      </c>
      <c r="D480" s="587">
        <v>116</v>
      </c>
      <c r="E480" s="600">
        <v>107</v>
      </c>
      <c r="F480" s="618">
        <v>110</v>
      </c>
      <c r="G480" s="608">
        <v>104</v>
      </c>
      <c r="H480" s="470"/>
      <c r="I480" s="470"/>
    </row>
    <row r="481" spans="1:9">
      <c r="A481" s="586" t="s">
        <v>103</v>
      </c>
      <c r="B481" s="620" t="s">
        <v>533</v>
      </c>
      <c r="C481" s="470" t="s">
        <v>1086</v>
      </c>
      <c r="D481" s="587">
        <v>228</v>
      </c>
      <c r="E481" s="600">
        <v>161</v>
      </c>
      <c r="F481" s="618">
        <v>243</v>
      </c>
      <c r="G481" s="608">
        <v>168</v>
      </c>
      <c r="H481" s="470"/>
      <c r="I481" s="470"/>
    </row>
    <row r="482" spans="1:9">
      <c r="A482" s="586" t="s">
        <v>103</v>
      </c>
      <c r="B482" s="620" t="s">
        <v>514</v>
      </c>
      <c r="C482" s="470" t="s">
        <v>1087</v>
      </c>
      <c r="D482" s="587">
        <v>99</v>
      </c>
      <c r="E482" s="600">
        <v>81</v>
      </c>
      <c r="F482" s="618">
        <v>93</v>
      </c>
      <c r="G482" s="608">
        <v>74</v>
      </c>
      <c r="H482" s="470"/>
      <c r="I482" s="470"/>
    </row>
    <row r="483" spans="1:9">
      <c r="A483" s="586" t="s">
        <v>103</v>
      </c>
      <c r="B483" s="620" t="s">
        <v>531</v>
      </c>
      <c r="C483" s="470" t="s">
        <v>1088</v>
      </c>
      <c r="D483" s="587">
        <v>349</v>
      </c>
      <c r="E483" s="600">
        <v>227</v>
      </c>
      <c r="F483" s="618">
        <v>352</v>
      </c>
      <c r="G483" s="608">
        <v>296</v>
      </c>
      <c r="H483" s="470"/>
      <c r="I483" s="470"/>
    </row>
    <row r="484" spans="1:9">
      <c r="A484" s="586" t="s">
        <v>103</v>
      </c>
      <c r="B484" s="620" t="s">
        <v>532</v>
      </c>
      <c r="C484" s="470" t="s">
        <v>1089</v>
      </c>
      <c r="D484" s="587">
        <v>1</v>
      </c>
      <c r="E484" s="600">
        <v>0</v>
      </c>
      <c r="F484" s="618">
        <v>0</v>
      </c>
      <c r="G484" s="608">
        <v>0</v>
      </c>
      <c r="H484" s="470"/>
      <c r="I484" s="470"/>
    </row>
    <row r="485" spans="1:9" s="579" customFormat="1" ht="15.75" customHeight="1" thickBot="1">
      <c r="A485" s="657" t="str">
        <f>CONCATENATE("Total ",A484,":")</f>
        <v>Total Other:</v>
      </c>
      <c r="B485" s="658"/>
      <c r="C485" s="659"/>
      <c r="D485" s="581">
        <f>SUMIF($A$7:$A$485,$A484,D$7:D$485)</f>
        <v>793</v>
      </c>
      <c r="E485" s="597">
        <f>SUMIF($A$7:$A$485,$A484,E$7:E$485)</f>
        <v>576</v>
      </c>
      <c r="F485" s="581">
        <f>SUMIF($A$7:$A$485,$A484,F$7:F$485)</f>
        <v>798</v>
      </c>
      <c r="G485" s="597">
        <f>SUMIF($A$7:$A$485,$A484,G$7:G$485)</f>
        <v>642</v>
      </c>
      <c r="H485" s="470"/>
      <c r="I485" s="470"/>
    </row>
    <row r="486" spans="1:9" ht="15.75" thickBot="1">
      <c r="A486" s="143" t="s">
        <v>537</v>
      </c>
      <c r="B486" s="622"/>
      <c r="C486" s="167"/>
      <c r="D486" s="584">
        <f>SUM(D7:D485)/2</f>
        <v>103386</v>
      </c>
      <c r="E486" s="474">
        <f>SUM(E7:E485)/2</f>
        <v>89210</v>
      </c>
      <c r="F486" s="584">
        <f>SUM(F7:F485)/2</f>
        <v>103605</v>
      </c>
      <c r="G486" s="474">
        <f>SUM(G7:G485)/2</f>
        <v>83597</v>
      </c>
    </row>
    <row r="488" spans="1:9" ht="28.5" customHeight="1">
      <c r="A488" s="661" t="s">
        <v>609</v>
      </c>
      <c r="B488" s="661"/>
      <c r="C488" s="661"/>
      <c r="D488" s="661"/>
      <c r="E488" s="661"/>
    </row>
  </sheetData>
  <mergeCells count="32">
    <mergeCell ref="A33:C33"/>
    <mergeCell ref="A5:E5"/>
    <mergeCell ref="A488:E488"/>
    <mergeCell ref="A8:C8"/>
    <mergeCell ref="A13:C13"/>
    <mergeCell ref="A24:C24"/>
    <mergeCell ref="A26:C26"/>
    <mergeCell ref="A21:C21"/>
    <mergeCell ref="A36:C36"/>
    <mergeCell ref="A166:C166"/>
    <mergeCell ref="A170:C170"/>
    <mergeCell ref="A172:C172"/>
    <mergeCell ref="A186:C186"/>
    <mergeCell ref="A190:C190"/>
    <mergeCell ref="A308:C308"/>
    <mergeCell ref="A315:C315"/>
    <mergeCell ref="A364:C364"/>
    <mergeCell ref="A398:C398"/>
    <mergeCell ref="A402:C402"/>
    <mergeCell ref="A412:C412"/>
    <mergeCell ref="A439:C439"/>
    <mergeCell ref="A441:C441"/>
    <mergeCell ref="A443:C443"/>
    <mergeCell ref="A445:C445"/>
    <mergeCell ref="A453:C453"/>
    <mergeCell ref="A460:C460"/>
    <mergeCell ref="A485:C485"/>
    <mergeCell ref="A462:C462"/>
    <mergeCell ref="A466:C466"/>
    <mergeCell ref="A475:C475"/>
    <mergeCell ref="A477:C477"/>
    <mergeCell ref="A479:C47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4036" r:id="rId4">
          <objectPr defaultSize="0" r:id="rId5">
            <anchor moveWithCells="1">
              <from>
                <xdr:col>8</xdr:col>
                <xdr:colOff>238125</xdr:colOff>
                <xdr:row>0</xdr:row>
                <xdr:rowOff>38100</xdr:rowOff>
              </from>
              <to>
                <xdr:col>15</xdr:col>
                <xdr:colOff>152400</xdr:colOff>
                <xdr:row>9</xdr:row>
                <xdr:rowOff>152400</xdr:rowOff>
              </to>
            </anchor>
          </objectPr>
        </oleObject>
      </mc:Choice>
      <mc:Fallback>
        <oleObject progId="Word.Document.12" shapeId="4403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workbookViewId="0"/>
  </sheetViews>
  <sheetFormatPr defaultRowHeight="15"/>
  <cols>
    <col min="1" max="1" width="30.85546875" style="135" bestFit="1" customWidth="1"/>
    <col min="2" max="2" width="32.140625" style="135" bestFit="1" customWidth="1"/>
    <col min="3" max="3" width="1.42578125" style="135" customWidth="1"/>
    <col min="4" max="4" width="100.5703125" style="135" customWidth="1"/>
    <col min="5" max="16384" width="9.140625" style="135"/>
  </cols>
  <sheetData>
    <row r="1" spans="1:20">
      <c r="A1" s="428"/>
      <c r="B1" s="428"/>
      <c r="C1" s="428"/>
      <c r="D1" s="428"/>
      <c r="E1" s="428"/>
      <c r="F1" s="428"/>
      <c r="G1" s="428"/>
      <c r="H1" s="428"/>
      <c r="I1" s="428"/>
      <c r="J1" s="428"/>
      <c r="K1" s="428"/>
      <c r="L1" s="428"/>
      <c r="M1" s="428"/>
      <c r="N1" s="428"/>
      <c r="O1" s="428"/>
      <c r="P1" s="428"/>
      <c r="Q1" s="428"/>
      <c r="R1" s="428"/>
      <c r="S1" s="428"/>
      <c r="T1" s="428"/>
    </row>
    <row r="2" spans="1:20">
      <c r="A2" s="428"/>
      <c r="B2" s="428"/>
      <c r="C2" s="428"/>
      <c r="D2" s="428"/>
      <c r="E2" s="428"/>
      <c r="F2" s="428"/>
      <c r="G2" s="428"/>
      <c r="H2" s="428"/>
      <c r="I2" s="428"/>
      <c r="J2" s="428"/>
      <c r="K2" s="428"/>
      <c r="L2" s="428"/>
      <c r="M2" s="428"/>
      <c r="N2" s="428"/>
      <c r="O2" s="428"/>
      <c r="P2" s="428"/>
      <c r="Q2" s="428"/>
      <c r="R2" s="428"/>
      <c r="S2" s="428"/>
      <c r="T2" s="428"/>
    </row>
    <row r="3" spans="1:20">
      <c r="A3" s="428"/>
      <c r="B3" s="428"/>
      <c r="C3" s="428"/>
      <c r="D3" s="428"/>
      <c r="E3" s="428"/>
      <c r="F3" s="428"/>
      <c r="G3" s="428"/>
      <c r="H3" s="428"/>
      <c r="I3" s="428"/>
      <c r="J3" s="428"/>
      <c r="K3" s="428"/>
      <c r="L3" s="428"/>
      <c r="M3" s="428"/>
      <c r="N3" s="428"/>
      <c r="O3" s="428"/>
      <c r="P3" s="428"/>
      <c r="Q3" s="428"/>
      <c r="R3" s="428"/>
      <c r="S3" s="428"/>
      <c r="T3" s="428"/>
    </row>
    <row r="4" spans="1:20">
      <c r="A4" s="428"/>
      <c r="B4" s="428"/>
      <c r="C4" s="428"/>
      <c r="D4" s="428"/>
      <c r="E4" s="428"/>
      <c r="F4" s="428"/>
      <c r="G4" s="428"/>
      <c r="H4" s="428"/>
      <c r="I4" s="428"/>
      <c r="J4" s="428"/>
      <c r="K4" s="428"/>
      <c r="L4" s="428"/>
      <c r="M4" s="428"/>
      <c r="N4" s="428"/>
      <c r="O4" s="428"/>
      <c r="P4" s="428"/>
      <c r="Q4" s="428"/>
      <c r="R4" s="428"/>
      <c r="S4" s="428"/>
      <c r="T4" s="428"/>
    </row>
    <row r="6" spans="1:20">
      <c r="A6" s="357" t="s">
        <v>55</v>
      </c>
      <c r="B6" s="357" t="s">
        <v>56</v>
      </c>
      <c r="C6" s="357"/>
      <c r="D6" s="357" t="s">
        <v>36</v>
      </c>
      <c r="E6" s="357" t="s">
        <v>57</v>
      </c>
    </row>
    <row r="7" spans="1:20">
      <c r="A7" s="135" t="s">
        <v>611</v>
      </c>
      <c r="B7" s="135" t="s">
        <v>60</v>
      </c>
      <c r="C7" s="135" t="s">
        <v>38</v>
      </c>
      <c r="D7" s="135" t="s">
        <v>61</v>
      </c>
      <c r="E7" s="50" t="s">
        <v>62</v>
      </c>
      <c r="F7" s="50" t="s">
        <v>63</v>
      </c>
      <c r="G7" s="50" t="s">
        <v>64</v>
      </c>
      <c r="H7" s="50" t="s">
        <v>65</v>
      </c>
      <c r="I7" s="50" t="s">
        <v>66</v>
      </c>
    </row>
    <row r="8" spans="1:20">
      <c r="A8" s="135" t="s">
        <v>58</v>
      </c>
      <c r="B8" s="135" t="s">
        <v>44</v>
      </c>
      <c r="C8" s="135" t="s">
        <v>38</v>
      </c>
      <c r="D8" s="135" t="s">
        <v>45</v>
      </c>
      <c r="E8" s="50" t="s">
        <v>50</v>
      </c>
    </row>
    <row r="9" spans="1:20">
      <c r="A9" s="135" t="s">
        <v>43</v>
      </c>
      <c r="B9" s="135" t="s">
        <v>46</v>
      </c>
      <c r="C9" s="135" t="s">
        <v>38</v>
      </c>
      <c r="D9" s="135" t="s">
        <v>45</v>
      </c>
      <c r="E9" s="50" t="s">
        <v>50</v>
      </c>
    </row>
    <row r="10" spans="1:20">
      <c r="A10" s="135" t="s">
        <v>59</v>
      </c>
      <c r="B10" s="135" t="s">
        <v>48</v>
      </c>
      <c r="C10" s="135" t="s">
        <v>38</v>
      </c>
      <c r="D10" s="135" t="s">
        <v>45</v>
      </c>
      <c r="E10" s="51" t="s">
        <v>49</v>
      </c>
    </row>
    <row r="11" spans="1:20" ht="45">
      <c r="A11" s="135" t="s">
        <v>71</v>
      </c>
      <c r="B11" s="135" t="s">
        <v>72</v>
      </c>
      <c r="C11" s="135" t="s">
        <v>38</v>
      </c>
      <c r="D11" s="549" t="s">
        <v>429</v>
      </c>
      <c r="E11" s="132" t="s">
        <v>94</v>
      </c>
    </row>
    <row r="12" spans="1:20" ht="45">
      <c r="B12" s="135" t="s">
        <v>73</v>
      </c>
      <c r="C12" s="135" t="s">
        <v>38</v>
      </c>
      <c r="D12" s="549" t="s">
        <v>639</v>
      </c>
      <c r="E12" s="132" t="s">
        <v>94</v>
      </c>
    </row>
    <row r="13" spans="1:20" ht="30">
      <c r="A13" s="135" t="s">
        <v>77</v>
      </c>
      <c r="B13" s="135" t="s">
        <v>72</v>
      </c>
      <c r="C13" s="135" t="s">
        <v>38</v>
      </c>
      <c r="D13" s="549" t="s">
        <v>92</v>
      </c>
      <c r="E13" s="132" t="s">
        <v>94</v>
      </c>
    </row>
    <row r="14" spans="1:20" ht="30">
      <c r="B14" s="135" t="s">
        <v>73</v>
      </c>
      <c r="C14" s="135" t="s">
        <v>38</v>
      </c>
      <c r="D14" s="549" t="s">
        <v>93</v>
      </c>
      <c r="E14" s="132" t="s">
        <v>94</v>
      </c>
    </row>
    <row r="15" spans="1:20" ht="30">
      <c r="A15" s="135" t="s">
        <v>90</v>
      </c>
      <c r="B15" s="135" t="s">
        <v>428</v>
      </c>
      <c r="D15" s="549" t="s">
        <v>643</v>
      </c>
      <c r="E15" s="132" t="s">
        <v>89</v>
      </c>
    </row>
    <row r="16" spans="1:20" ht="30">
      <c r="A16" s="135" t="s">
        <v>91</v>
      </c>
      <c r="B16" s="135" t="s">
        <v>87</v>
      </c>
      <c r="D16" s="549" t="s">
        <v>644</v>
      </c>
      <c r="E16" s="132" t="s">
        <v>89</v>
      </c>
    </row>
    <row r="17" spans="1:5" ht="30">
      <c r="A17" s="135" t="s">
        <v>70</v>
      </c>
      <c r="B17" s="135" t="s">
        <v>545</v>
      </c>
      <c r="D17" s="549" t="s">
        <v>645</v>
      </c>
      <c r="E17" s="132" t="s">
        <v>544</v>
      </c>
    </row>
    <row r="18" spans="1:5">
      <c r="D18"/>
      <c r="E18" s="132"/>
    </row>
    <row r="19" spans="1:5">
      <c r="D19"/>
      <c r="E19" s="132"/>
    </row>
    <row r="32" spans="1:5" ht="15.75">
      <c r="B32" s="87"/>
    </row>
    <row r="33" spans="2:2" ht="15.75">
      <c r="B33" s="88"/>
    </row>
    <row r="34" spans="2:2" ht="15.75">
      <c r="B34" s="87"/>
    </row>
  </sheetData>
  <hyperlinks>
    <hyperlink ref="E10" r:id="rId1" display="RBA INDEX OF COMMODITY PRICES "/>
    <hyperlink ref="F7" r:id="rId2"/>
    <hyperlink ref="E7" r:id="rId3"/>
    <hyperlink ref="I7" r:id="rId4"/>
    <hyperlink ref="G7" r:id="rId5"/>
    <hyperlink ref="H7" r:id="rId6"/>
    <hyperlink ref="E15" r:id="rId7"/>
    <hyperlink ref="E16" r:id="rId8"/>
    <hyperlink ref="E13:E14" r:id="rId9" display="ABS 5625.0"/>
    <hyperlink ref="E9" r:id="rId10"/>
    <hyperlink ref="E8" r:id="rId11"/>
    <hyperlink ref="E11:E12" r:id="rId12" display="ABS 5625.0"/>
    <hyperlink ref="E17" r:id="rId13"/>
  </hyperlinks>
  <pageMargins left="0.7" right="0.7" top="0.75" bottom="0.75" header="0.3" footer="0.3"/>
  <pageSetup paperSize="9" orientation="portrait" r:id="rId14"/>
  <drawing r:id="rId15"/>
  <legacyDrawing r:id="rId16"/>
  <oleObjects>
    <mc:AlternateContent xmlns:mc="http://schemas.openxmlformats.org/markup-compatibility/2006">
      <mc:Choice Requires="x14">
        <oleObject progId="Word.Document.12" shapeId="26625" r:id="rId17">
          <objectPr defaultSize="0" r:id="rId18">
            <anchor moveWithCells="1">
              <from>
                <xdr:col>0</xdr:col>
                <xdr:colOff>104775</xdr:colOff>
                <xdr:row>20</xdr:row>
                <xdr:rowOff>19050</xdr:rowOff>
              </from>
              <to>
                <xdr:col>3</xdr:col>
                <xdr:colOff>1362075</xdr:colOff>
                <xdr:row>49</xdr:row>
                <xdr:rowOff>133350</xdr:rowOff>
              </to>
            </anchor>
          </objectPr>
        </oleObject>
      </mc:Choice>
      <mc:Fallback>
        <oleObject progId="Word.Document.12" shapeId="26625" r:id="rId17"/>
      </mc:Fallback>
    </mc:AlternateContent>
    <mc:AlternateContent xmlns:mc="http://schemas.openxmlformats.org/markup-compatibility/2006">
      <mc:Choice Requires="x14">
        <oleObject progId="Word.Document.12" shapeId="26626" r:id="rId19">
          <objectPr defaultSize="0" r:id="rId20">
            <anchor moveWithCells="1">
              <from>
                <xdr:col>3</xdr:col>
                <xdr:colOff>1466850</xdr:colOff>
                <xdr:row>20</xdr:row>
                <xdr:rowOff>19050</xdr:rowOff>
              </from>
              <to>
                <xdr:col>4</xdr:col>
                <xdr:colOff>333375</xdr:colOff>
                <xdr:row>39</xdr:row>
                <xdr:rowOff>171450</xdr:rowOff>
              </to>
            </anchor>
          </objectPr>
        </oleObject>
      </mc:Choice>
      <mc:Fallback>
        <oleObject progId="Word.Document.12" shapeId="26626" r:id="rId19"/>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52"/>
  <sheetViews>
    <sheetView workbookViewId="0"/>
  </sheetViews>
  <sheetFormatPr defaultRowHeight="15"/>
  <cols>
    <col min="1" max="1" width="41.140625" style="428" bestFit="1" customWidth="1"/>
    <col min="2" max="2" width="48" style="428" bestFit="1" customWidth="1"/>
    <col min="3" max="4" width="7.7109375" style="428" bestFit="1" customWidth="1"/>
    <col min="5" max="7" width="9.140625" style="428"/>
    <col min="8" max="8" width="42.85546875" style="428" bestFit="1" customWidth="1"/>
    <col min="9" max="10" width="11.28515625" style="428" bestFit="1" customWidth="1"/>
    <col min="11" max="16384" width="9.140625" style="428"/>
  </cols>
  <sheetData>
    <row r="5" spans="1:10" ht="16.5" customHeight="1">
      <c r="A5" s="663" t="s">
        <v>605</v>
      </c>
      <c r="B5" s="663"/>
      <c r="C5" s="663"/>
      <c r="D5" s="663"/>
      <c r="E5" s="181"/>
    </row>
    <row r="6" spans="1:10" ht="41.25" customHeight="1" thickBot="1">
      <c r="A6" s="664" t="s">
        <v>606</v>
      </c>
      <c r="B6" s="664"/>
      <c r="C6" s="664"/>
      <c r="D6" s="664"/>
    </row>
    <row r="7" spans="1:10" ht="16.5" customHeight="1" thickBot="1">
      <c r="A7" s="166" t="s">
        <v>96</v>
      </c>
      <c r="B7" s="167" t="s">
        <v>311</v>
      </c>
      <c r="C7" s="426">
        <v>2015</v>
      </c>
      <c r="D7" s="158">
        <v>2016</v>
      </c>
      <c r="H7" s="29"/>
      <c r="I7" s="475"/>
      <c r="J7" s="475"/>
    </row>
    <row r="8" spans="1:10" ht="14.25" customHeight="1">
      <c r="A8" s="168" t="s">
        <v>141</v>
      </c>
      <c r="B8" s="169" t="s">
        <v>142</v>
      </c>
      <c r="C8" s="170">
        <v>263</v>
      </c>
      <c r="D8" s="171">
        <v>139</v>
      </c>
      <c r="H8" s="29"/>
      <c r="I8" s="475"/>
      <c r="J8" s="475"/>
    </row>
    <row r="9" spans="1:10" ht="14.25" customHeight="1">
      <c r="A9" s="168" t="s">
        <v>143</v>
      </c>
      <c r="B9" s="169" t="s">
        <v>144</v>
      </c>
      <c r="C9" s="172">
        <v>10</v>
      </c>
      <c r="D9" s="171">
        <v>16</v>
      </c>
      <c r="H9" s="29"/>
      <c r="I9" s="475"/>
      <c r="J9" s="475"/>
    </row>
    <row r="10" spans="1:10" ht="28.5" customHeight="1">
      <c r="A10" s="168" t="s">
        <v>543</v>
      </c>
      <c r="B10" s="173" t="s">
        <v>145</v>
      </c>
      <c r="C10" s="172">
        <v>59</v>
      </c>
      <c r="D10" s="171">
        <v>39</v>
      </c>
      <c r="H10" s="29"/>
      <c r="I10" s="475"/>
      <c r="J10" s="475"/>
    </row>
    <row r="11" spans="1:10" ht="14.25" customHeight="1">
      <c r="A11" s="168" t="s">
        <v>101</v>
      </c>
      <c r="B11" s="169" t="s">
        <v>146</v>
      </c>
      <c r="C11" s="172">
        <v>5.0999999999999996</v>
      </c>
      <c r="D11" s="171">
        <v>7</v>
      </c>
      <c r="H11" s="29"/>
      <c r="I11" s="475"/>
      <c r="J11" s="475"/>
    </row>
    <row r="12" spans="1:10" ht="14.25" customHeight="1">
      <c r="A12" s="168" t="s">
        <v>539</v>
      </c>
      <c r="B12" s="169" t="s">
        <v>147</v>
      </c>
      <c r="C12" s="172">
        <v>13</v>
      </c>
      <c r="D12" s="171">
        <v>11</v>
      </c>
      <c r="H12" s="29"/>
      <c r="I12" s="475"/>
      <c r="J12" s="475"/>
    </row>
    <row r="13" spans="1:10" ht="14.25" customHeight="1">
      <c r="A13" s="168" t="s">
        <v>148</v>
      </c>
      <c r="B13" s="169" t="s">
        <v>624</v>
      </c>
      <c r="C13" s="172">
        <v>80</v>
      </c>
      <c r="D13" s="171">
        <v>16</v>
      </c>
      <c r="H13" s="29"/>
      <c r="I13" s="475"/>
      <c r="J13" s="475"/>
    </row>
    <row r="14" spans="1:10" ht="14.25" customHeight="1">
      <c r="A14" s="168" t="s">
        <v>149</v>
      </c>
      <c r="B14" s="169" t="s">
        <v>150</v>
      </c>
      <c r="C14" s="172">
        <v>2</v>
      </c>
      <c r="D14" s="171"/>
      <c r="H14" s="29"/>
      <c r="I14" s="475"/>
      <c r="J14" s="475"/>
    </row>
    <row r="15" spans="1:10" ht="14.25" customHeight="1">
      <c r="A15" s="168" t="s">
        <v>151</v>
      </c>
      <c r="B15" s="169" t="s">
        <v>152</v>
      </c>
      <c r="C15" s="172">
        <v>654</v>
      </c>
      <c r="D15" s="171">
        <v>271</v>
      </c>
      <c r="H15" s="29"/>
      <c r="I15" s="475"/>
      <c r="J15" s="475"/>
    </row>
    <row r="16" spans="1:10" ht="14.25" customHeight="1">
      <c r="A16" s="168" t="s">
        <v>153</v>
      </c>
      <c r="B16" s="169" t="s">
        <v>154</v>
      </c>
      <c r="C16" s="172">
        <v>263</v>
      </c>
      <c r="D16" s="171">
        <v>243</v>
      </c>
      <c r="H16" s="29"/>
      <c r="I16" s="475"/>
      <c r="J16" s="475"/>
    </row>
    <row r="17" spans="1:10" ht="14.25" customHeight="1">
      <c r="A17" s="168" t="s">
        <v>155</v>
      </c>
      <c r="B17" s="169" t="s">
        <v>541</v>
      </c>
      <c r="C17" s="172">
        <v>14</v>
      </c>
      <c r="D17" s="171">
        <v>13</v>
      </c>
      <c r="H17" s="29"/>
      <c r="I17" s="475"/>
      <c r="J17" s="475"/>
    </row>
    <row r="18" spans="1:10" s="536" customFormat="1" ht="14.25" customHeight="1">
      <c r="A18" s="168" t="s">
        <v>634</v>
      </c>
      <c r="B18" s="169" t="s">
        <v>635</v>
      </c>
      <c r="C18" s="172"/>
      <c r="D18" s="171">
        <v>5</v>
      </c>
      <c r="H18" s="29"/>
      <c r="I18" s="475"/>
      <c r="J18" s="475"/>
    </row>
    <row r="19" spans="1:10" s="536" customFormat="1" ht="14.25" customHeight="1">
      <c r="A19" s="168" t="s">
        <v>632</v>
      </c>
      <c r="B19" s="169" t="s">
        <v>633</v>
      </c>
      <c r="C19" s="172"/>
      <c r="D19" s="171">
        <v>15</v>
      </c>
      <c r="H19" s="29"/>
      <c r="I19" s="475"/>
      <c r="J19" s="475"/>
    </row>
    <row r="20" spans="1:10" ht="14.25" customHeight="1">
      <c r="A20" s="168" t="s">
        <v>312</v>
      </c>
      <c r="B20" s="169" t="s">
        <v>313</v>
      </c>
      <c r="C20" s="172">
        <v>9</v>
      </c>
      <c r="D20" s="171"/>
      <c r="H20" s="29"/>
      <c r="I20" s="475"/>
      <c r="J20" s="475"/>
    </row>
    <row r="21" spans="1:10" ht="14.25" customHeight="1">
      <c r="A21" s="168" t="s">
        <v>156</v>
      </c>
      <c r="B21" s="169" t="s">
        <v>157</v>
      </c>
      <c r="C21" s="172">
        <v>76</v>
      </c>
      <c r="D21" s="171">
        <v>57</v>
      </c>
      <c r="H21" s="29"/>
      <c r="I21" s="475"/>
      <c r="J21" s="475"/>
    </row>
    <row r="22" spans="1:10" ht="14.25" customHeight="1">
      <c r="A22" s="168" t="s">
        <v>314</v>
      </c>
      <c r="B22" s="169" t="s">
        <v>315</v>
      </c>
      <c r="C22" s="172">
        <v>17</v>
      </c>
      <c r="D22" s="171">
        <v>7</v>
      </c>
      <c r="H22" s="29"/>
      <c r="I22" s="475"/>
      <c r="J22" s="475"/>
    </row>
    <row r="23" spans="1:10" s="536" customFormat="1" ht="14.25" customHeight="1">
      <c r="A23" s="168" t="s">
        <v>630</v>
      </c>
      <c r="B23" s="169" t="s">
        <v>631</v>
      </c>
      <c r="C23" s="172"/>
      <c r="D23" s="171">
        <v>8</v>
      </c>
      <c r="H23" s="29"/>
      <c r="I23" s="475"/>
      <c r="J23" s="475"/>
    </row>
    <row r="24" spans="1:10" ht="14.25" customHeight="1">
      <c r="A24" s="168" t="s">
        <v>158</v>
      </c>
      <c r="B24" s="169" t="s">
        <v>159</v>
      </c>
      <c r="C24" s="172">
        <v>11</v>
      </c>
      <c r="D24" s="171">
        <v>10</v>
      </c>
      <c r="H24" s="29"/>
      <c r="I24" s="475"/>
      <c r="J24" s="475"/>
    </row>
    <row r="25" spans="1:10" ht="14.25" customHeight="1">
      <c r="A25" s="168" t="s">
        <v>160</v>
      </c>
      <c r="B25" s="169" t="s">
        <v>161</v>
      </c>
      <c r="C25" s="172">
        <v>13.2</v>
      </c>
      <c r="D25" s="171">
        <v>13</v>
      </c>
      <c r="H25" s="29"/>
      <c r="I25" s="475"/>
      <c r="J25" s="475"/>
    </row>
    <row r="26" spans="1:10" ht="14.25" customHeight="1">
      <c r="A26" s="168" t="s">
        <v>162</v>
      </c>
      <c r="B26" s="169" t="s">
        <v>163</v>
      </c>
      <c r="C26" s="172">
        <v>4</v>
      </c>
      <c r="D26" s="171">
        <v>5</v>
      </c>
      <c r="H26" s="29"/>
      <c r="I26" s="475"/>
      <c r="J26" s="475"/>
    </row>
    <row r="27" spans="1:10" ht="14.25" customHeight="1">
      <c r="A27" s="168" t="s">
        <v>164</v>
      </c>
      <c r="B27" s="169" t="s">
        <v>165</v>
      </c>
      <c r="C27" s="172">
        <v>4.5</v>
      </c>
      <c r="D27" s="171">
        <v>3</v>
      </c>
      <c r="H27" s="29"/>
      <c r="I27" s="475"/>
      <c r="J27" s="475"/>
    </row>
    <row r="28" spans="1:10" ht="14.25" customHeight="1">
      <c r="A28" s="168" t="s">
        <v>166</v>
      </c>
      <c r="B28" s="169" t="s">
        <v>167</v>
      </c>
      <c r="C28" s="172">
        <v>17</v>
      </c>
      <c r="D28" s="171">
        <v>15</v>
      </c>
      <c r="H28" s="29"/>
      <c r="I28" s="475"/>
      <c r="J28" s="475"/>
    </row>
    <row r="29" spans="1:10" ht="14.25" customHeight="1">
      <c r="A29" s="168" t="s">
        <v>168</v>
      </c>
      <c r="B29" s="169" t="s">
        <v>169</v>
      </c>
      <c r="C29" s="172">
        <v>13</v>
      </c>
      <c r="D29" s="171">
        <v>14</v>
      </c>
      <c r="H29" s="29"/>
      <c r="I29" s="475"/>
      <c r="J29" s="475"/>
    </row>
    <row r="30" spans="1:10" ht="14.25" customHeight="1">
      <c r="A30" s="168" t="s">
        <v>540</v>
      </c>
      <c r="B30" s="169" t="s">
        <v>542</v>
      </c>
      <c r="C30" s="172">
        <v>137</v>
      </c>
      <c r="D30" s="171">
        <v>118</v>
      </c>
      <c r="H30" s="29"/>
      <c r="I30" s="475"/>
      <c r="J30" s="475"/>
    </row>
    <row r="31" spans="1:10" ht="14.25" customHeight="1">
      <c r="A31" s="168" t="s">
        <v>170</v>
      </c>
      <c r="B31" s="169" t="s">
        <v>171</v>
      </c>
      <c r="C31" s="172">
        <v>4.8</v>
      </c>
      <c r="D31" s="171">
        <v>4</v>
      </c>
      <c r="H31" s="29"/>
      <c r="I31" s="475"/>
      <c r="J31" s="475"/>
    </row>
    <row r="32" spans="1:10" ht="14.25" customHeight="1">
      <c r="A32" s="168" t="s">
        <v>316</v>
      </c>
      <c r="B32" s="169" t="s">
        <v>317</v>
      </c>
      <c r="C32" s="172">
        <v>1</v>
      </c>
      <c r="D32" s="171"/>
      <c r="H32" s="29"/>
      <c r="I32" s="475"/>
      <c r="J32" s="475"/>
    </row>
    <row r="33" spans="1:10" ht="14.25" customHeight="1">
      <c r="A33" s="168" t="s">
        <v>172</v>
      </c>
      <c r="B33" s="169" t="s">
        <v>173</v>
      </c>
      <c r="C33" s="172">
        <v>18</v>
      </c>
      <c r="D33" s="171">
        <v>19</v>
      </c>
      <c r="H33" s="29"/>
      <c r="I33" s="475"/>
      <c r="J33" s="475"/>
    </row>
    <row r="34" spans="1:10" ht="14.25" customHeight="1">
      <c r="A34" s="168" t="s">
        <v>174</v>
      </c>
      <c r="B34" s="169" t="s">
        <v>175</v>
      </c>
      <c r="C34" s="172">
        <v>26</v>
      </c>
      <c r="D34" s="171">
        <v>26</v>
      </c>
      <c r="H34" s="29"/>
      <c r="I34" s="475"/>
      <c r="J34" s="475"/>
    </row>
    <row r="35" spans="1:10" s="536" customFormat="1" ht="14.25" customHeight="1">
      <c r="A35" s="168" t="s">
        <v>625</v>
      </c>
      <c r="B35" s="169" t="s">
        <v>626</v>
      </c>
      <c r="C35" s="172"/>
      <c r="D35" s="171">
        <v>23</v>
      </c>
      <c r="H35" s="29"/>
      <c r="I35" s="475"/>
      <c r="J35" s="475"/>
    </row>
    <row r="36" spans="1:10" s="536" customFormat="1" ht="14.25" customHeight="1">
      <c r="A36" s="168" t="s">
        <v>628</v>
      </c>
      <c r="B36" s="169" t="s">
        <v>629</v>
      </c>
      <c r="C36" s="172"/>
      <c r="D36" s="171">
        <v>3</v>
      </c>
      <c r="H36" s="29"/>
      <c r="I36" s="475"/>
      <c r="J36" s="475"/>
    </row>
    <row r="37" spans="1:10" ht="14.25" customHeight="1" thickBot="1">
      <c r="A37" s="168" t="s">
        <v>103</v>
      </c>
      <c r="B37" s="169" t="s">
        <v>627</v>
      </c>
      <c r="C37" s="174">
        <v>19</v>
      </c>
      <c r="D37" s="171">
        <v>3</v>
      </c>
      <c r="H37" s="29"/>
      <c r="I37" s="475"/>
      <c r="J37" s="475"/>
    </row>
    <row r="38" spans="1:10" ht="16.5" customHeight="1" thickBot="1">
      <c r="A38" s="175" t="s">
        <v>176</v>
      </c>
      <c r="B38" s="176"/>
      <c r="C38" s="177">
        <f>SUM(C8:C37)</f>
        <v>1733.6</v>
      </c>
      <c r="D38" s="476">
        <f>SUM(D8:D37)</f>
        <v>1103</v>
      </c>
      <c r="H38" s="29"/>
      <c r="I38" s="475"/>
      <c r="J38" s="475"/>
    </row>
    <row r="39" spans="1:10" ht="16.5" customHeight="1">
      <c r="A39" s="178"/>
      <c r="B39" s="179"/>
      <c r="C39" s="180"/>
      <c r="D39" s="180"/>
      <c r="H39" s="29"/>
      <c r="I39" s="475"/>
      <c r="J39" s="475"/>
    </row>
    <row r="40" spans="1:10" ht="45.75" customHeight="1">
      <c r="A40" s="661" t="s">
        <v>609</v>
      </c>
      <c r="B40" s="661"/>
      <c r="C40" s="661"/>
      <c r="D40" s="661"/>
      <c r="H40" s="29"/>
      <c r="I40" s="475"/>
      <c r="J40" s="475"/>
    </row>
    <row r="41" spans="1:10">
      <c r="H41" s="29"/>
      <c r="I41" s="475"/>
      <c r="J41" s="475"/>
    </row>
    <row r="42" spans="1:10">
      <c r="H42" s="29"/>
      <c r="I42" s="475"/>
      <c r="J42" s="475"/>
    </row>
    <row r="43" spans="1:10">
      <c r="D43" s="357"/>
      <c r="H43" s="29"/>
      <c r="I43" s="475"/>
      <c r="J43" s="475"/>
    </row>
    <row r="44" spans="1:10">
      <c r="H44" s="29"/>
      <c r="I44" s="475"/>
      <c r="J44" s="475"/>
    </row>
    <row r="45" spans="1:10">
      <c r="H45" s="29"/>
      <c r="I45" s="475"/>
      <c r="J45" s="475"/>
    </row>
    <row r="46" spans="1:10">
      <c r="H46" s="29"/>
      <c r="I46" s="475"/>
      <c r="J46" s="475"/>
    </row>
    <row r="47" spans="1:10">
      <c r="H47" s="29"/>
      <c r="I47" s="475"/>
      <c r="J47" s="475"/>
    </row>
    <row r="48" spans="1:10">
      <c r="H48" s="29"/>
      <c r="I48" s="475"/>
      <c r="J48" s="475"/>
    </row>
    <row r="49" spans="8:10">
      <c r="H49" s="29"/>
      <c r="I49" s="475"/>
      <c r="J49" s="475"/>
    </row>
    <row r="50" spans="8:10">
      <c r="H50" s="29"/>
      <c r="I50" s="475"/>
      <c r="J50" s="475"/>
    </row>
    <row r="51" spans="8:10">
      <c r="H51" s="29"/>
      <c r="I51" s="475"/>
      <c r="J51" s="475"/>
    </row>
    <row r="52" spans="8:10">
      <c r="I52" s="33"/>
      <c r="J52" s="33"/>
    </row>
  </sheetData>
  <mergeCells count="3">
    <mergeCell ref="A5:D5"/>
    <mergeCell ref="A6:D6"/>
    <mergeCell ref="A40:D40"/>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5"/>
  <sheetViews>
    <sheetView workbookViewId="0"/>
  </sheetViews>
  <sheetFormatPr defaultRowHeight="15"/>
  <cols>
    <col min="1" max="1" width="38.140625" style="428" bestFit="1" customWidth="1"/>
    <col min="2" max="2" width="16.5703125" style="428" bestFit="1" customWidth="1"/>
    <col min="3" max="3" width="11.28515625" style="428" bestFit="1" customWidth="1"/>
    <col min="4" max="16384" width="9.140625" style="428"/>
  </cols>
  <sheetData>
    <row r="4" spans="1:7">
      <c r="A4" s="133"/>
    </row>
    <row r="5" spans="1:7">
      <c r="A5" s="672" t="str">
        <f ca="1">CONCATENATE("WA Mining Industry Direct Employment ", B8)</f>
        <v>WA Mining Industry Direct Employment 2016</v>
      </c>
      <c r="B5" s="672"/>
      <c r="C5" s="672"/>
    </row>
    <row r="6" spans="1:7" ht="15.75" thickBot="1">
      <c r="A6" s="673" t="str">
        <f>CONCATENATE(IF(A25="Calendar Year",RIGHT('Calendar Year Employment'!A7,LEN('Calendar Year Employment'!A7)-17),RIGHT('Financial Year Employment'!A7,LEN('Financial Year Employment'!A7)-17)),", By Commodity")</f>
        <v>Average Number of Individuals, By Commodity</v>
      </c>
      <c r="B6" s="673"/>
      <c r="C6" s="673"/>
    </row>
    <row r="7" spans="1:7">
      <c r="A7" s="670" t="s">
        <v>177</v>
      </c>
      <c r="B7" s="254" t="s">
        <v>178</v>
      </c>
      <c r="C7" s="668" t="s">
        <v>549</v>
      </c>
    </row>
    <row r="8" spans="1:7" ht="15.75" thickBot="1">
      <c r="A8" s="671"/>
      <c r="B8" s="501">
        <f ca="1">IF($A$25="Calendar year",MAX('Royalties - Historic'!$B$24:$BZ$24),INDIRECT(ADDRESS(8,MATCH(MAX('Royalties - Historic'!$B$1:$BZ$1),'Royalties - Historic'!$A$1:$BZ$1,0),1,0,"Royalties - Historic"),FALSE))</f>
        <v>2016</v>
      </c>
      <c r="C8" s="669"/>
    </row>
    <row r="9" spans="1:7">
      <c r="A9" s="147" t="s">
        <v>179</v>
      </c>
      <c r="B9" s="491">
        <f ca="1">IF($A$25="Calendar Year",HLOOKUP('Employment by commodity'!B8,'Calendar Year Employment'!$C$7:$AH$21,2,TRUE),HLOOKUP('Employment by commodity'!B8,'Financial Year Employment'!$C$7:$AH$21,2,TRUE))</f>
        <v>2225.1666666666665</v>
      </c>
      <c r="C9" s="497">
        <f ca="1">SUM(B9/B22)</f>
        <v>2.1231881695592605E-2</v>
      </c>
    </row>
    <row r="10" spans="1:7">
      <c r="A10" s="146" t="s">
        <v>459</v>
      </c>
      <c r="B10" s="492">
        <f ca="1">IF($A$25="Calendar Year",HLOOKUP('Employment by commodity'!B8,'Calendar Year Employment'!$C$7:$AH$21,3,TRUE),HLOOKUP('Employment by commodity'!B8,'Financial Year Employment'!$C$7:$AH$21,3,TRUE))</f>
        <v>6715.416666666667</v>
      </c>
      <c r="C10" s="498">
        <f ca="1">SUM(B10/B22)</f>
        <v>6.4076518104985783E-2</v>
      </c>
    </row>
    <row r="11" spans="1:7">
      <c r="A11" s="147" t="s">
        <v>99</v>
      </c>
      <c r="B11" s="493">
        <f ca="1">IF($A$25="Calendar Year",HLOOKUP('Employment by commodity'!B8,'Calendar Year Employment'!$C$7:$AH$21,4,TRUE),HLOOKUP('Employment by commodity'!B8,'Financial Year Employment'!$C$7:$AH$21,4,TRUE))</f>
        <v>1107.5</v>
      </c>
      <c r="C11" s="497">
        <f ca="1">SUM(B11/B22)</f>
        <v>1.056743718576982E-2</v>
      </c>
      <c r="G11" s="490" t="s">
        <v>348</v>
      </c>
    </row>
    <row r="12" spans="1:7">
      <c r="A12" s="145" t="s">
        <v>185</v>
      </c>
      <c r="B12" s="494">
        <f ca="1">IF($A$25="Calendar Year",HLOOKUP('Employment by commodity'!B8,'Calendar Year Employment'!$C$7:$AH$21,6,TRUE),HLOOKUP('Employment by commodity'!B8,'Financial Year Employment'!$C$7:$AH$21,6,TRUE))</f>
        <v>873</v>
      </c>
      <c r="C12" s="499">
        <f ca="1">SUM(B12/B22)</f>
        <v>8.3299075965481296E-3</v>
      </c>
      <c r="G12" s="490" t="s">
        <v>347</v>
      </c>
    </row>
    <row r="13" spans="1:7">
      <c r="A13" s="147" t="s">
        <v>15</v>
      </c>
      <c r="B13" s="493">
        <f ca="1">IF($A$25="Calendar Year",HLOOKUP('Employment by commodity'!B8,'Calendar Year Employment'!$C$7:$AH$21,7,TRUE),HLOOKUP('Employment by commodity'!B8,'Financial Year Employment'!$C$7:$AH$21,7,TRUE))</f>
        <v>25494.833333333332</v>
      </c>
      <c r="C13" s="497">
        <f ca="1">SUM(B13/B22)</f>
        <v>0.24326415332882223</v>
      </c>
    </row>
    <row r="14" spans="1:7">
      <c r="A14" s="145" t="s">
        <v>349</v>
      </c>
      <c r="B14" s="494">
        <f ca="1">IF($A$25="Calendar Year",HLOOKUP('Employment by commodity'!B8,'Calendar Year Employment'!$C$7:$AH$21,8,TRUE),HLOOKUP('Employment by commodity'!B8,'Financial Year Employment'!$C$7:$AH$21,8,TRUE))</f>
        <v>2396.5</v>
      </c>
      <c r="C14" s="499">
        <f ca="1">SUM(B14/B22)</f>
        <v>2.2866693648485217E-2</v>
      </c>
      <c r="F14" s="425"/>
    </row>
    <row r="15" spans="1:7">
      <c r="A15" s="147" t="s">
        <v>180</v>
      </c>
      <c r="B15" s="493">
        <f ca="1">IF($A$25="Calendar Year",HLOOKUP('Employment by commodity'!B8,'Calendar Year Employment'!$C$7:$AH$21,9,TRUE),HLOOKUP('Employment by commodity'!B8,'Financial Year Employment'!$C$7:$AH$21,9,TRUE))</f>
        <v>52315.416666666664</v>
      </c>
      <c r="C15" s="497">
        <f ca="1">SUM(B15/B22)</f>
        <v>0.4991782207425513</v>
      </c>
      <c r="F15" s="425"/>
    </row>
    <row r="16" spans="1:7">
      <c r="A16" s="145" t="s">
        <v>122</v>
      </c>
      <c r="B16" s="494">
        <f ca="1">IF($A$25="Calendar Year",HLOOKUP('Employment by commodity'!B8,'Calendar Year Employment'!$C$7:$AH$21,12,TRUE),HLOOKUP('Employment by commodity'!B8,'Financial Year Employment'!$C$7:$AH$21,12,TRUE))</f>
        <v>888.25</v>
      </c>
      <c r="C16" s="499">
        <f ca="1">SUM(B16/B22)</f>
        <v>8.4754185826275783E-3</v>
      </c>
    </row>
    <row r="17" spans="1:3">
      <c r="A17" s="147" t="s">
        <v>17</v>
      </c>
      <c r="B17" s="493">
        <f ca="1">IF($A$25="Calendar Year",HLOOKUP('Employment by commodity'!B8,'Calendar Year Employment'!$C$7:$AH$21,10,TRUE),HLOOKUP('Employment by commodity'!B8,'Financial Year Employment'!$C$7:$AH$21,10,TRUE))</f>
        <v>5444.333333333333</v>
      </c>
      <c r="C17" s="497">
        <f ca="1">SUM(B17/B22)</f>
        <v>5.1948217172363725E-2</v>
      </c>
    </row>
    <row r="18" spans="1:3">
      <c r="A18" s="145" t="s">
        <v>120</v>
      </c>
      <c r="B18" s="494">
        <f ca="1">IF($A$25="Calendar Year",HLOOKUP('Employment by commodity'!B8,'Calendar Year Employment'!$C$7:$AH$21,11,TRUE),HLOOKUP('Employment by commodity'!B8,'Financial Year Employment'!$C$7:$AH$21,11,TRUE))</f>
        <v>794.08333333333337</v>
      </c>
      <c r="C18" s="499">
        <f ca="1">SUM(B18/B22)</f>
        <v>7.5769081221369926E-3</v>
      </c>
    </row>
    <row r="19" spans="1:3" hidden="1">
      <c r="A19" s="147" t="s">
        <v>181</v>
      </c>
      <c r="B19" s="493">
        <f>SUMIF('Employment by Site - Minerals'!A:A,A19,'Employment by Site - Minerals'!E:E)/2</f>
        <v>0</v>
      </c>
      <c r="C19" s="497"/>
    </row>
    <row r="20" spans="1:3" hidden="1">
      <c r="A20" s="145" t="s">
        <v>182</v>
      </c>
      <c r="B20" s="494">
        <f>SUMIF('Employment by Site - Minerals'!A:A,A20,'Employment by Site - Minerals'!E:E)/2</f>
        <v>0</v>
      </c>
      <c r="C20" s="499"/>
    </row>
    <row r="21" spans="1:3" ht="15.75" thickBot="1">
      <c r="A21" s="182" t="s">
        <v>550</v>
      </c>
      <c r="B21" s="495">
        <f ca="1">B22-SUM(B9:B20)</f>
        <v>6548.583333333343</v>
      </c>
      <c r="C21" s="500">
        <f ca="1">SUM(B21/B22)</f>
        <v>6.248464382011671E-2</v>
      </c>
    </row>
    <row r="22" spans="1:3" ht="16.5" thickTop="1" thickBot="1">
      <c r="A22" s="136" t="s">
        <v>183</v>
      </c>
      <c r="B22" s="496">
        <f ca="1">IF($A$25="Calendar Year",HLOOKUP('Employment by commodity'!B8,'Calendar Year Employment'!$C$7:$AH$21,15,TRUE),HLOOKUP('Employment by commodity'!B8,'Financial Year Employment'!$C$7:$AH$21,15,TRUE))</f>
        <v>104803.08333333333</v>
      </c>
      <c r="C22" s="163"/>
    </row>
    <row r="23" spans="1:3" ht="15.75" thickBot="1"/>
    <row r="24" spans="1:3" ht="15.75" thickBot="1">
      <c r="A24" s="7" t="s">
        <v>187</v>
      </c>
      <c r="B24" s="23"/>
      <c r="C24" s="4"/>
    </row>
    <row r="25" spans="1:3" ht="15.75" thickBot="1">
      <c r="A25" s="665" t="s">
        <v>348</v>
      </c>
      <c r="B25" s="666"/>
      <c r="C25" s="667"/>
    </row>
  </sheetData>
  <mergeCells count="6">
    <mergeCell ref="A25:C25"/>
    <mergeCell ref="A24:C24"/>
    <mergeCell ref="C7:C8"/>
    <mergeCell ref="A7:A8"/>
    <mergeCell ref="A5:C5"/>
    <mergeCell ref="A6:C6"/>
  </mergeCells>
  <dataValidations count="1">
    <dataValidation type="list" allowBlank="1" showInputMessage="1" showErrorMessage="1" promptTitle="Select a Display Factor:" prompt="Select a time period for graphical display." sqref="A25">
      <formula1>$G$11:$G$12</formula1>
    </dataValidation>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3"/>
  <sheetViews>
    <sheetView zoomScaleNormal="100" workbookViewId="0">
      <pane xSplit="2" topLeftCell="C1" activePane="topRight" state="frozen"/>
      <selection activeCell="O30" sqref="O30"/>
      <selection pane="topRight" activeCell="C1" sqref="C1"/>
    </sheetView>
  </sheetViews>
  <sheetFormatPr defaultRowHeight="15"/>
  <cols>
    <col min="1" max="1" width="59.7109375" style="428" bestFit="1" customWidth="1"/>
    <col min="2" max="2" width="3.28515625" style="428" customWidth="1"/>
    <col min="3" max="12" width="10.28515625" style="428" bestFit="1" customWidth="1"/>
    <col min="13" max="13" width="11.28515625" style="428" bestFit="1" customWidth="1"/>
    <col min="14" max="15" width="9.140625" style="428"/>
    <col min="16" max="16" width="10.140625" style="428" bestFit="1" customWidth="1"/>
    <col min="17" max="17" width="10.140625" style="428" customWidth="1"/>
    <col min="18" max="16384" width="9.140625" style="428"/>
  </cols>
  <sheetData>
    <row r="1" spans="1:71">
      <c r="C1" s="343">
        <f t="shared" ref="C1:BN1" ca="1" si="0">INDIRECT(ADDRESS(MATCH($Q$51,$A$1:$A$21,0),COLUMN(C$2)))</f>
        <v>41757.333333333336</v>
      </c>
      <c r="D1" s="343">
        <f t="shared" ca="1" si="0"/>
        <v>41912.000000000007</v>
      </c>
      <c r="E1" s="343">
        <f t="shared" ca="1" si="0"/>
        <v>44762.916666666664</v>
      </c>
      <c r="F1" s="343">
        <f t="shared" ca="1" si="0"/>
        <v>48630</v>
      </c>
      <c r="G1" s="343">
        <f t="shared" ca="1" si="0"/>
        <v>55127.416666666672</v>
      </c>
      <c r="H1" s="343">
        <f t="shared" ca="1" si="0"/>
        <v>59125.250000000007</v>
      </c>
      <c r="I1" s="343">
        <f t="shared" ca="1" si="0"/>
        <v>65366.166666666672</v>
      </c>
      <c r="J1" s="343">
        <f t="shared" ca="1" si="0"/>
        <v>72294</v>
      </c>
      <c r="K1" s="343">
        <f t="shared" ca="1" si="0"/>
        <v>69835.083333333328</v>
      </c>
      <c r="L1" s="343">
        <f t="shared" ca="1" si="0"/>
        <v>78027.166666666657</v>
      </c>
      <c r="M1" s="343">
        <f t="shared" ca="1" si="0"/>
        <v>92042.166666666657</v>
      </c>
      <c r="N1" s="343">
        <f t="shared" ca="1" si="0"/>
        <v>106183.00000000001</v>
      </c>
      <c r="O1" s="343">
        <f t="shared" ca="1" si="0"/>
        <v>111293.16666666666</v>
      </c>
      <c r="P1" s="343">
        <f t="shared" ca="1" si="0"/>
        <v>109560.91666666666</v>
      </c>
      <c r="Q1" s="343">
        <f t="shared" ca="1" si="0"/>
        <v>105285.5</v>
      </c>
      <c r="R1" s="343">
        <f t="shared" ca="1" si="0"/>
        <v>104803.08333333333</v>
      </c>
      <c r="S1" s="343">
        <f t="shared" ca="1" si="0"/>
        <v>0</v>
      </c>
      <c r="T1" s="343">
        <f t="shared" ca="1" si="0"/>
        <v>0</v>
      </c>
      <c r="U1" s="343">
        <f t="shared" ca="1" si="0"/>
        <v>0</v>
      </c>
      <c r="V1" s="343">
        <f t="shared" ca="1" si="0"/>
        <v>0</v>
      </c>
      <c r="W1" s="343">
        <f t="shared" ca="1" si="0"/>
        <v>0</v>
      </c>
      <c r="X1" s="343">
        <f t="shared" ca="1" si="0"/>
        <v>0</v>
      </c>
      <c r="Y1" s="343">
        <f t="shared" ca="1" si="0"/>
        <v>0</v>
      </c>
      <c r="Z1" s="343">
        <f t="shared" ca="1" si="0"/>
        <v>0</v>
      </c>
      <c r="AA1" s="343">
        <f t="shared" ca="1" si="0"/>
        <v>0</v>
      </c>
      <c r="AB1" s="343">
        <f t="shared" ca="1" si="0"/>
        <v>0</v>
      </c>
      <c r="AC1" s="343">
        <f t="shared" ca="1" si="0"/>
        <v>0</v>
      </c>
      <c r="AD1" s="343">
        <f t="shared" ca="1" si="0"/>
        <v>0</v>
      </c>
      <c r="AE1" s="343">
        <f t="shared" ca="1" si="0"/>
        <v>0</v>
      </c>
      <c r="AF1" s="343">
        <f t="shared" ca="1" si="0"/>
        <v>0</v>
      </c>
      <c r="AG1" s="343">
        <f t="shared" ca="1" si="0"/>
        <v>0</v>
      </c>
      <c r="AH1" s="343">
        <f t="shared" ca="1" si="0"/>
        <v>0</v>
      </c>
      <c r="AI1" s="343">
        <f t="shared" ca="1" si="0"/>
        <v>0</v>
      </c>
      <c r="AJ1" s="343">
        <f t="shared" ca="1" si="0"/>
        <v>0</v>
      </c>
      <c r="AK1" s="343">
        <f t="shared" ca="1" si="0"/>
        <v>0</v>
      </c>
      <c r="AL1" s="343">
        <f t="shared" ca="1" si="0"/>
        <v>0</v>
      </c>
      <c r="AM1" s="343">
        <f t="shared" ca="1" si="0"/>
        <v>0</v>
      </c>
      <c r="AN1" s="343">
        <f t="shared" ca="1" si="0"/>
        <v>0</v>
      </c>
      <c r="AO1" s="343">
        <f t="shared" ca="1" si="0"/>
        <v>0</v>
      </c>
      <c r="AP1" s="343">
        <f t="shared" ca="1" si="0"/>
        <v>0</v>
      </c>
      <c r="AQ1" s="343">
        <f t="shared" ca="1" si="0"/>
        <v>0</v>
      </c>
      <c r="AR1" s="343">
        <f t="shared" ca="1" si="0"/>
        <v>0</v>
      </c>
      <c r="AS1" s="343">
        <f t="shared" ca="1" si="0"/>
        <v>0</v>
      </c>
      <c r="AT1" s="343">
        <f t="shared" ca="1" si="0"/>
        <v>0</v>
      </c>
      <c r="AU1" s="343">
        <f t="shared" ca="1" si="0"/>
        <v>0</v>
      </c>
      <c r="AV1" s="343">
        <f t="shared" ca="1" si="0"/>
        <v>0</v>
      </c>
      <c r="AW1" s="343">
        <f t="shared" ca="1" si="0"/>
        <v>0</v>
      </c>
      <c r="AX1" s="343">
        <f t="shared" ca="1" si="0"/>
        <v>0</v>
      </c>
      <c r="AY1" s="343">
        <f t="shared" ca="1" si="0"/>
        <v>0</v>
      </c>
      <c r="AZ1" s="343">
        <f t="shared" ca="1" si="0"/>
        <v>0</v>
      </c>
      <c r="BA1" s="343">
        <f t="shared" ca="1" si="0"/>
        <v>0</v>
      </c>
      <c r="BB1" s="343">
        <f t="shared" ca="1" si="0"/>
        <v>0</v>
      </c>
      <c r="BC1" s="343">
        <f t="shared" ca="1" si="0"/>
        <v>0</v>
      </c>
      <c r="BD1" s="343">
        <f t="shared" ca="1" si="0"/>
        <v>0</v>
      </c>
      <c r="BE1" s="343">
        <f t="shared" ca="1" si="0"/>
        <v>0</v>
      </c>
      <c r="BF1" s="343">
        <f t="shared" ca="1" si="0"/>
        <v>0</v>
      </c>
      <c r="BG1" s="343">
        <f t="shared" ca="1" si="0"/>
        <v>0</v>
      </c>
      <c r="BH1" s="343">
        <f t="shared" ca="1" si="0"/>
        <v>0</v>
      </c>
      <c r="BI1" s="343">
        <f t="shared" ca="1" si="0"/>
        <v>0</v>
      </c>
      <c r="BJ1" s="343">
        <f t="shared" ca="1" si="0"/>
        <v>0</v>
      </c>
      <c r="BK1" s="343">
        <f t="shared" ca="1" si="0"/>
        <v>0</v>
      </c>
      <c r="BL1" s="343">
        <f t="shared" ca="1" si="0"/>
        <v>0</v>
      </c>
      <c r="BM1" s="343">
        <f t="shared" ca="1" si="0"/>
        <v>0</v>
      </c>
      <c r="BN1" s="343">
        <f t="shared" ca="1" si="0"/>
        <v>0</v>
      </c>
      <c r="BO1" s="343">
        <f t="shared" ref="BO1:BS1" ca="1" si="1">INDIRECT(ADDRESS(MATCH($Q$51,$A$1:$A$21,0),COLUMN(BO$2)))</f>
        <v>0</v>
      </c>
      <c r="BP1" s="343">
        <f t="shared" ca="1" si="1"/>
        <v>0</v>
      </c>
      <c r="BQ1" s="343">
        <f t="shared" ca="1" si="1"/>
        <v>0</v>
      </c>
      <c r="BR1" s="343">
        <f t="shared" ca="1" si="1"/>
        <v>0</v>
      </c>
      <c r="BS1" s="343">
        <f t="shared" ca="1" si="1"/>
        <v>0</v>
      </c>
    </row>
    <row r="5" spans="1:71" s="184" customFormat="1">
      <c r="A5" s="502" t="s">
        <v>184</v>
      </c>
      <c r="B5" s="502"/>
    </row>
    <row r="6" spans="1:71" s="184" customFormat="1" ht="15.75" thickBot="1">
      <c r="A6" s="502" t="s">
        <v>177</v>
      </c>
      <c r="B6" s="502"/>
    </row>
    <row r="7" spans="1:71" s="184" customFormat="1" ht="15.75" thickBot="1">
      <c r="A7" s="362" t="s">
        <v>324</v>
      </c>
      <c r="B7" s="157"/>
      <c r="C7" s="157">
        <v>2001</v>
      </c>
      <c r="D7" s="157">
        <v>2002</v>
      </c>
      <c r="E7" s="157">
        <v>2003</v>
      </c>
      <c r="F7" s="157">
        <v>2004</v>
      </c>
      <c r="G7" s="157">
        <v>2005</v>
      </c>
      <c r="H7" s="157">
        <v>2006</v>
      </c>
      <c r="I7" s="157">
        <v>2007</v>
      </c>
      <c r="J7" s="157">
        <v>2008</v>
      </c>
      <c r="K7" s="157">
        <v>2009</v>
      </c>
      <c r="L7" s="157">
        <v>2010</v>
      </c>
      <c r="M7" s="157">
        <v>2011</v>
      </c>
      <c r="N7" s="157">
        <v>2012</v>
      </c>
      <c r="O7" s="157">
        <v>2013</v>
      </c>
      <c r="P7" s="157">
        <v>2014</v>
      </c>
      <c r="Q7" s="157">
        <v>2015</v>
      </c>
      <c r="R7" s="158">
        <v>2016</v>
      </c>
    </row>
    <row r="8" spans="1:71" s="184" customFormat="1">
      <c r="A8" s="159" t="s">
        <v>179</v>
      </c>
      <c r="B8" s="349"/>
      <c r="C8" s="441">
        <f>IF($A$7=$A$100, AVERAGEIF('Historic Employment Monthly'!$B$2:$SD$2,'Calendar Year Employment'!C$7,'Historic Employment Monthly'!$B47:$SD47),AVERAGEIF('Historic Employment Monthly'!$B$2:$SD$2,'Calendar Year Employment'!C$7,'Historic Employment Monthly'!$B135:$SD135))</f>
        <v>1102.8333333333333</v>
      </c>
      <c r="D8" s="441">
        <f>IF($A$7=$A$100, AVERAGEIF('Historic Employment Monthly'!$B$2:$SD$2,'Calendar Year Employment'!D$7,'Historic Employment Monthly'!$B47:$SD47),AVERAGEIF('Historic Employment Monthly'!$B$2:$SD$2,'Calendar Year Employment'!D$7,'Historic Employment Monthly'!$B135:$SD135))</f>
        <v>1089.25</v>
      </c>
      <c r="E8" s="441">
        <f>IF($A$7=$A$100, AVERAGEIF('Historic Employment Monthly'!$B$2:$SD$2,'Calendar Year Employment'!E$7,'Historic Employment Monthly'!$B47:$SD47),AVERAGEIF('Historic Employment Monthly'!$B$2:$SD$2,'Calendar Year Employment'!E$7,'Historic Employment Monthly'!$B135:$SD135))</f>
        <v>1099.4166666666667</v>
      </c>
      <c r="F8" s="441">
        <f>IF($A$7=$A$100, AVERAGEIF('Historic Employment Monthly'!$B$2:$SD$2,'Calendar Year Employment'!F$7,'Historic Employment Monthly'!$B47:$SD47),AVERAGEIF('Historic Employment Monthly'!$B$2:$SD$2,'Calendar Year Employment'!F$7,'Historic Employment Monthly'!$B135:$SD135))</f>
        <v>918.58333333333337</v>
      </c>
      <c r="G8" s="441">
        <f>IF($A$7=$A$100, AVERAGEIF('Historic Employment Monthly'!$B$2:$SD$2,'Calendar Year Employment'!G$7,'Historic Employment Monthly'!$B47:$SD47),AVERAGEIF('Historic Employment Monthly'!$B$2:$SD$2,'Calendar Year Employment'!G$7,'Historic Employment Monthly'!$B135:$SD135))</f>
        <v>1499.8333333333333</v>
      </c>
      <c r="H8" s="441">
        <f>IF($A$7=$A$100, AVERAGEIF('Historic Employment Monthly'!$B$2:$SD$2,'Calendar Year Employment'!H$7,'Historic Employment Monthly'!$B47:$SD47),AVERAGEIF('Historic Employment Monthly'!$B$2:$SD$2,'Calendar Year Employment'!H$7,'Historic Employment Monthly'!$B135:$SD135))</f>
        <v>2021.5833333333333</v>
      </c>
      <c r="I8" s="441">
        <f>IF($A$7=$A$100, AVERAGEIF('Historic Employment Monthly'!$B$2:$SD$2,'Calendar Year Employment'!I$7,'Historic Employment Monthly'!$B47:$SD47),AVERAGEIF('Historic Employment Monthly'!$B$2:$SD$2,'Calendar Year Employment'!I$7,'Historic Employment Monthly'!$B135:$SD135))</f>
        <v>2240.5833333333335</v>
      </c>
      <c r="J8" s="441">
        <f>IF($A$7=$A$100, AVERAGEIF('Historic Employment Monthly'!$B$2:$SD$2,'Calendar Year Employment'!J$7,'Historic Employment Monthly'!$B47:$SD47),AVERAGEIF('Historic Employment Monthly'!$B$2:$SD$2,'Calendar Year Employment'!J$7,'Historic Employment Monthly'!$B135:$SD135))</f>
        <v>2353.25</v>
      </c>
      <c r="K8" s="441">
        <f>IF($A$7=$A$100, AVERAGEIF('Historic Employment Monthly'!$B$2:$SD$2,'Calendar Year Employment'!K$7,'Historic Employment Monthly'!$B47:$SD47),AVERAGEIF('Historic Employment Monthly'!$B$2:$SD$2,'Calendar Year Employment'!K$7,'Historic Employment Monthly'!$B135:$SD135))</f>
        <v>1643.3333333333333</v>
      </c>
      <c r="L8" s="441">
        <f>IF($A$7=$A$100, AVERAGEIF('Historic Employment Monthly'!$B$2:$SD$2,'Calendar Year Employment'!L$7,'Historic Employment Monthly'!$B47:$SD47),AVERAGEIF('Historic Employment Monthly'!$B$2:$SD$2,'Calendar Year Employment'!L$7,'Historic Employment Monthly'!$B135:$SD135))</f>
        <v>2200.8333333333335</v>
      </c>
      <c r="M8" s="441">
        <f>IF($A$7=$A$100, AVERAGEIF('Historic Employment Monthly'!$B$2:$SD$2,'Calendar Year Employment'!M$7,'Historic Employment Monthly'!$B47:$SD47),AVERAGEIF('Historic Employment Monthly'!$B$2:$SD$2,'Calendar Year Employment'!M$7,'Historic Employment Monthly'!$B135:$SD135))</f>
        <v>2578.25</v>
      </c>
      <c r="N8" s="441">
        <f>IF($A$7=$A$100, AVERAGEIF('Historic Employment Monthly'!$B$2:$SD$2,'Calendar Year Employment'!N$7,'Historic Employment Monthly'!$B47:$SD47),AVERAGEIF('Historic Employment Monthly'!$B$2:$SD$2,'Calendar Year Employment'!N$7,'Historic Employment Monthly'!$B135:$SD135))</f>
        <v>3039.5</v>
      </c>
      <c r="O8" s="441">
        <f>IF($A$7=$A$100, AVERAGEIF('Historic Employment Monthly'!$B$2:$SD$2,'Calendar Year Employment'!O$7,'Historic Employment Monthly'!$B47:$SD47),AVERAGEIF('Historic Employment Monthly'!$B$2:$SD$2,'Calendar Year Employment'!O$7,'Historic Employment Monthly'!$B135:$SD135))</f>
        <v>2804.5</v>
      </c>
      <c r="P8" s="441">
        <f>IF($A$7=$A$100, AVERAGEIF('Historic Employment Monthly'!$B$2:$SD$2,'Calendar Year Employment'!P$7,'Historic Employment Monthly'!$B47:$SD47),AVERAGEIF('Historic Employment Monthly'!$B$2:$SD$2,'Calendar Year Employment'!P$7,'Historic Employment Monthly'!$B135:$SD135))</f>
        <v>2508</v>
      </c>
      <c r="Q8" s="441">
        <f>IF($A$7=$A$100, AVERAGEIF('Historic Employment Monthly'!$B$2:$SD$2,'Calendar Year Employment'!Q$7,'Historic Employment Monthly'!$B47:$SD47),AVERAGEIF('Historic Employment Monthly'!$B$2:$SD$2,'Calendar Year Employment'!Q$7,'Historic Employment Monthly'!$B135:$SD135))</f>
        <v>2498.9166666666665</v>
      </c>
      <c r="R8" s="352">
        <f>IF($A$7=$A$100, AVERAGEIF('Historic Employment Monthly'!$B$2:$SD$2,'Calendar Year Employment'!R$7,'Historic Employment Monthly'!$B47:$SD47),AVERAGEIF('Historic Employment Monthly'!$B$2:$SD$2,'Calendar Year Employment'!R$7,'Historic Employment Monthly'!$B135:$SD135))</f>
        <v>2225.1666666666665</v>
      </c>
      <c r="S8" s="229"/>
      <c r="T8" s="228"/>
      <c r="U8" s="229"/>
    </row>
    <row r="9" spans="1:71" s="184" customFormat="1">
      <c r="A9" s="159" t="s">
        <v>97</v>
      </c>
      <c r="B9" s="350"/>
      <c r="C9" s="442">
        <f>IF($A$7=$A$100, AVERAGEIF('Historic Employment Monthly'!$B$2:$SD$2,'Calendar Year Employment'!C$7,'Historic Employment Monthly'!$B48:$SD48),AVERAGEIF('Historic Employment Monthly'!$B$2:$SD$2,'Calendar Year Employment'!C$7,'Historic Employment Monthly'!$B136:$SD136))</f>
        <v>6365.833333333333</v>
      </c>
      <c r="D9" s="442">
        <f>IF($A$7=$A$100, AVERAGEIF('Historic Employment Monthly'!$B$2:$SD$2,'Calendar Year Employment'!D$7,'Historic Employment Monthly'!$B48:$SD48),AVERAGEIF('Historic Employment Monthly'!$B$2:$SD$2,'Calendar Year Employment'!D$7,'Historic Employment Monthly'!$B136:$SD136))</f>
        <v>6467.416666666667</v>
      </c>
      <c r="E9" s="442">
        <f>IF($A$7=$A$100, AVERAGEIF('Historic Employment Monthly'!$B$2:$SD$2,'Calendar Year Employment'!E$7,'Historic Employment Monthly'!$B48:$SD48),AVERAGEIF('Historic Employment Monthly'!$B$2:$SD$2,'Calendar Year Employment'!E$7,'Historic Employment Monthly'!$B136:$SD136))</f>
        <v>6799.166666666667</v>
      </c>
      <c r="F9" s="442">
        <f>IF($A$7=$A$100, AVERAGEIF('Historic Employment Monthly'!$B$2:$SD$2,'Calendar Year Employment'!F$7,'Historic Employment Monthly'!$B48:$SD48),AVERAGEIF('Historic Employment Monthly'!$B$2:$SD$2,'Calendar Year Employment'!F$7,'Historic Employment Monthly'!$B136:$SD136))</f>
        <v>7399.333333333333</v>
      </c>
      <c r="G9" s="442">
        <f>IF($A$7=$A$100, AVERAGEIF('Historic Employment Monthly'!$B$2:$SD$2,'Calendar Year Employment'!G$7,'Historic Employment Monthly'!$B48:$SD48),AVERAGEIF('Historic Employment Monthly'!$B$2:$SD$2,'Calendar Year Employment'!G$7,'Historic Employment Monthly'!$B136:$SD136))</f>
        <v>9621.4166666666661</v>
      </c>
      <c r="H9" s="442">
        <f>IF($A$7=$A$100, AVERAGEIF('Historic Employment Monthly'!$B$2:$SD$2,'Calendar Year Employment'!H$7,'Historic Employment Monthly'!$B48:$SD48),AVERAGEIF('Historic Employment Monthly'!$B$2:$SD$2,'Calendar Year Employment'!H$7,'Historic Employment Monthly'!$B136:$SD136))</f>
        <v>8915.9166666666661</v>
      </c>
      <c r="I9" s="442">
        <f>IF($A$7=$A$100, AVERAGEIF('Historic Employment Monthly'!$B$2:$SD$2,'Calendar Year Employment'!I$7,'Historic Employment Monthly'!$B48:$SD48),AVERAGEIF('Historic Employment Monthly'!$B$2:$SD$2,'Calendar Year Employment'!I$7,'Historic Employment Monthly'!$B136:$SD136))</f>
        <v>8467.75</v>
      </c>
      <c r="J9" s="442">
        <f>IF($A$7=$A$100, AVERAGEIF('Historic Employment Monthly'!$B$2:$SD$2,'Calendar Year Employment'!J$7,'Historic Employment Monthly'!$B48:$SD48),AVERAGEIF('Historic Employment Monthly'!$B$2:$SD$2,'Calendar Year Employment'!J$7,'Historic Employment Monthly'!$B136:$SD136))</f>
        <v>8114.333333333333</v>
      </c>
      <c r="K9" s="442">
        <f>IF($A$7=$A$100, AVERAGEIF('Historic Employment Monthly'!$B$2:$SD$2,'Calendar Year Employment'!K$7,'Historic Employment Monthly'!$B48:$SD48),AVERAGEIF('Historic Employment Monthly'!$B$2:$SD$2,'Calendar Year Employment'!K$7,'Historic Employment Monthly'!$B136:$SD136))</f>
        <v>8360.1666666666661</v>
      </c>
      <c r="L9" s="442">
        <f>IF($A$7=$A$100, AVERAGEIF('Historic Employment Monthly'!$B$2:$SD$2,'Calendar Year Employment'!L$7,'Historic Employment Monthly'!$B48:$SD48),AVERAGEIF('Historic Employment Monthly'!$B$2:$SD$2,'Calendar Year Employment'!L$7,'Historic Employment Monthly'!$B136:$SD136))</f>
        <v>9650.5</v>
      </c>
      <c r="M9" s="442">
        <f>IF($A$7=$A$100, AVERAGEIF('Historic Employment Monthly'!$B$2:$SD$2,'Calendar Year Employment'!M$7,'Historic Employment Monthly'!$B48:$SD48),AVERAGEIF('Historic Employment Monthly'!$B$2:$SD$2,'Calendar Year Employment'!M$7,'Historic Employment Monthly'!$B136:$SD136))</f>
        <v>11289.833333333334</v>
      </c>
      <c r="N9" s="442">
        <f>IF($A$7=$A$100, AVERAGEIF('Historic Employment Monthly'!$B$2:$SD$2,'Calendar Year Employment'!N$7,'Historic Employment Monthly'!$B48:$SD48),AVERAGEIF('Historic Employment Monthly'!$B$2:$SD$2,'Calendar Year Employment'!N$7,'Historic Employment Monthly'!$B136:$SD136))</f>
        <v>8290.25</v>
      </c>
      <c r="O9" s="442">
        <f>IF($A$7=$A$100, AVERAGEIF('Historic Employment Monthly'!$B$2:$SD$2,'Calendar Year Employment'!O$7,'Historic Employment Monthly'!$B48:$SD48),AVERAGEIF('Historic Employment Monthly'!$B$2:$SD$2,'Calendar Year Employment'!O$7,'Historic Employment Monthly'!$B136:$SD136))</f>
        <v>7356.166666666667</v>
      </c>
      <c r="P9" s="442">
        <f>IF($A$7=$A$100, AVERAGEIF('Historic Employment Monthly'!$B$2:$SD$2,'Calendar Year Employment'!P$7,'Historic Employment Monthly'!$B48:$SD48),AVERAGEIF('Historic Employment Monthly'!$B$2:$SD$2,'Calendar Year Employment'!P$7,'Historic Employment Monthly'!$B136:$SD136))</f>
        <v>7453.333333333333</v>
      </c>
      <c r="Q9" s="442">
        <f>IF($A$7=$A$100, AVERAGEIF('Historic Employment Monthly'!$B$2:$SD$2,'Calendar Year Employment'!Q$7,'Historic Employment Monthly'!$B48:$SD48),AVERAGEIF('Historic Employment Monthly'!$B$2:$SD$2,'Calendar Year Employment'!Q$7,'Historic Employment Monthly'!$B136:$SD136))</f>
        <v>7596.5</v>
      </c>
      <c r="R9" s="353">
        <f>IF($A$7=$A$100, AVERAGEIF('Historic Employment Monthly'!$B$2:$SD$2,'Calendar Year Employment'!R$7,'Historic Employment Monthly'!$B48:$SD48),AVERAGEIF('Historic Employment Monthly'!$B$2:$SD$2,'Calendar Year Employment'!R$7,'Historic Employment Monthly'!$B136:$SD136))</f>
        <v>6715.416666666667</v>
      </c>
      <c r="S9" s="229"/>
      <c r="T9" s="228"/>
      <c r="U9" s="229"/>
    </row>
    <row r="10" spans="1:71" s="184" customFormat="1">
      <c r="A10" s="159" t="s">
        <v>99</v>
      </c>
      <c r="B10" s="349"/>
      <c r="C10" s="348">
        <f>IF($A$7=$A$100, AVERAGEIF('Historic Employment Monthly'!$B$2:$SD$2,'Calendar Year Employment'!C$7,'Historic Employment Monthly'!$B49:$SD49),AVERAGEIF('Historic Employment Monthly'!$B$2:$SD$2,'Calendar Year Employment'!C$7,'Historic Employment Monthly'!$B137:$SD137))</f>
        <v>676.5</v>
      </c>
      <c r="D10" s="348">
        <f>IF($A$7=$A$100, AVERAGEIF('Historic Employment Monthly'!$B$2:$SD$2,'Calendar Year Employment'!D$7,'Historic Employment Monthly'!$B49:$SD49),AVERAGEIF('Historic Employment Monthly'!$B$2:$SD$2,'Calendar Year Employment'!D$7,'Historic Employment Monthly'!$B137:$SD137))</f>
        <v>648.75</v>
      </c>
      <c r="E10" s="348">
        <f>IF($A$7=$A$100, AVERAGEIF('Historic Employment Monthly'!$B$2:$SD$2,'Calendar Year Employment'!E$7,'Historic Employment Monthly'!$B49:$SD49),AVERAGEIF('Historic Employment Monthly'!$B$2:$SD$2,'Calendar Year Employment'!E$7,'Historic Employment Monthly'!$B137:$SD137))</f>
        <v>640.5</v>
      </c>
      <c r="F10" s="348">
        <f>IF($A$7=$A$100, AVERAGEIF('Historic Employment Monthly'!$B$2:$SD$2,'Calendar Year Employment'!F$7,'Historic Employment Monthly'!$B49:$SD49),AVERAGEIF('Historic Employment Monthly'!$B$2:$SD$2,'Calendar Year Employment'!F$7,'Historic Employment Monthly'!$B137:$SD137))</f>
        <v>650.66666666666663</v>
      </c>
      <c r="G10" s="348">
        <f>IF($A$7=$A$100, AVERAGEIF('Historic Employment Monthly'!$B$2:$SD$2,'Calendar Year Employment'!G$7,'Historic Employment Monthly'!$B49:$SD49),AVERAGEIF('Historic Employment Monthly'!$B$2:$SD$2,'Calendar Year Employment'!G$7,'Historic Employment Monthly'!$B137:$SD137))</f>
        <v>716.83333333333337</v>
      </c>
      <c r="H10" s="348">
        <f>IF($A$7=$A$100, AVERAGEIF('Historic Employment Monthly'!$B$2:$SD$2,'Calendar Year Employment'!H$7,'Historic Employment Monthly'!$B49:$SD49),AVERAGEIF('Historic Employment Monthly'!$B$2:$SD$2,'Calendar Year Employment'!H$7,'Historic Employment Monthly'!$B137:$SD137))</f>
        <v>771</v>
      </c>
      <c r="I10" s="441">
        <f>IF($A$7=$A$100, AVERAGEIF('Historic Employment Monthly'!$B$2:$SD$2,'Calendar Year Employment'!I$7,'Historic Employment Monthly'!$B49:$SD49),AVERAGEIF('Historic Employment Monthly'!$B$2:$SD$2,'Calendar Year Employment'!I$7,'Historic Employment Monthly'!$B137:$SD137))</f>
        <v>808.25</v>
      </c>
      <c r="J10" s="441">
        <f>IF($A$7=$A$100, AVERAGEIF('Historic Employment Monthly'!$B$2:$SD$2,'Calendar Year Employment'!J$7,'Historic Employment Monthly'!$B49:$SD49),AVERAGEIF('Historic Employment Monthly'!$B$2:$SD$2,'Calendar Year Employment'!J$7,'Historic Employment Monthly'!$B137:$SD137))</f>
        <v>896.66666666666663</v>
      </c>
      <c r="K10" s="441">
        <f>IF($A$7=$A$100, AVERAGEIF('Historic Employment Monthly'!$B$2:$SD$2,'Calendar Year Employment'!K$7,'Historic Employment Monthly'!$B49:$SD49),AVERAGEIF('Historic Employment Monthly'!$B$2:$SD$2,'Calendar Year Employment'!K$7,'Historic Employment Monthly'!$B137:$SD137))</f>
        <v>927.16666666666663</v>
      </c>
      <c r="L10" s="441">
        <f>IF($A$7=$A$100, AVERAGEIF('Historic Employment Monthly'!$B$2:$SD$2,'Calendar Year Employment'!L$7,'Historic Employment Monthly'!$B49:$SD49),AVERAGEIF('Historic Employment Monthly'!$B$2:$SD$2,'Calendar Year Employment'!L$7,'Historic Employment Monthly'!$B137:$SD137))</f>
        <v>1019.9166666666666</v>
      </c>
      <c r="M10" s="441">
        <f>IF($A$7=$A$100, AVERAGEIF('Historic Employment Monthly'!$B$2:$SD$2,'Calendar Year Employment'!M$7,'Historic Employment Monthly'!$B49:$SD49),AVERAGEIF('Historic Employment Monthly'!$B$2:$SD$2,'Calendar Year Employment'!M$7,'Historic Employment Monthly'!$B137:$SD137))</f>
        <v>799.66666666666663</v>
      </c>
      <c r="N10" s="441">
        <f>IF($A$7=$A$100, AVERAGEIF('Historic Employment Monthly'!$B$2:$SD$2,'Calendar Year Employment'!N$7,'Historic Employment Monthly'!$B49:$SD49),AVERAGEIF('Historic Employment Monthly'!$B$2:$SD$2,'Calendar Year Employment'!N$7,'Historic Employment Monthly'!$B137:$SD137))</f>
        <v>458.25</v>
      </c>
      <c r="O10" s="441">
        <f>IF($A$7=$A$100, AVERAGEIF('Historic Employment Monthly'!$B$2:$SD$2,'Calendar Year Employment'!O$7,'Historic Employment Monthly'!$B49:$SD49),AVERAGEIF('Historic Employment Monthly'!$B$2:$SD$2,'Calendar Year Employment'!O$7,'Historic Employment Monthly'!$B137:$SD137))</f>
        <v>443.08333333333331</v>
      </c>
      <c r="P10" s="441">
        <f>IF($A$7=$A$100, AVERAGEIF('Historic Employment Monthly'!$B$2:$SD$2,'Calendar Year Employment'!P$7,'Historic Employment Monthly'!$B49:$SD49),AVERAGEIF('Historic Employment Monthly'!$B$2:$SD$2,'Calendar Year Employment'!P$7,'Historic Employment Monthly'!$B137:$SD137))</f>
        <v>896.58333333333337</v>
      </c>
      <c r="Q10" s="441">
        <f>IF($A$7=$A$100, AVERAGEIF('Historic Employment Monthly'!$B$2:$SD$2,'Calendar Year Employment'!Q$7,'Historic Employment Monthly'!$B49:$SD49),AVERAGEIF('Historic Employment Monthly'!$B$2:$SD$2,'Calendar Year Employment'!Q$7,'Historic Employment Monthly'!$B137:$SD137))</f>
        <v>1035.3333333333333</v>
      </c>
      <c r="R10" s="352">
        <f>IF($A$7=$A$100, AVERAGEIF('Historic Employment Monthly'!$B$2:$SD$2,'Calendar Year Employment'!R$7,'Historic Employment Monthly'!$B49:$SD49),AVERAGEIF('Historic Employment Monthly'!$B$2:$SD$2,'Calendar Year Employment'!R$7,'Historic Employment Monthly'!$B137:$SD137))</f>
        <v>1107.5</v>
      </c>
      <c r="S10" s="229"/>
      <c r="T10" s="228"/>
      <c r="U10" s="229"/>
    </row>
    <row r="11" spans="1:71" s="184" customFormat="1">
      <c r="A11" s="159" t="s">
        <v>127</v>
      </c>
      <c r="B11" s="350"/>
      <c r="C11" s="442">
        <f>IF($A$7=$A$100, AVERAGEIF('Historic Employment Monthly'!$B$2:$SD$2,'Calendar Year Employment'!C$7,'Historic Employment Monthly'!$B50:$SD50),AVERAGEIF('Historic Employment Monthly'!$B$2:$SD$2,'Calendar Year Employment'!C$7,'Historic Employment Monthly'!$B138:$SD138))</f>
        <v>692.33333333333337</v>
      </c>
      <c r="D11" s="442">
        <f>IF($A$7=$A$100, AVERAGEIF('Historic Employment Monthly'!$B$2:$SD$2,'Calendar Year Employment'!D$7,'Historic Employment Monthly'!$B50:$SD50),AVERAGEIF('Historic Employment Monthly'!$B$2:$SD$2,'Calendar Year Employment'!D$7,'Historic Employment Monthly'!$B138:$SD138))</f>
        <v>406.33333333333331</v>
      </c>
      <c r="E11" s="442">
        <f>IF($A$7=$A$100, AVERAGEIF('Historic Employment Monthly'!$B$2:$SD$2,'Calendar Year Employment'!E$7,'Historic Employment Monthly'!$B50:$SD50),AVERAGEIF('Historic Employment Monthly'!$B$2:$SD$2,'Calendar Year Employment'!E$7,'Historic Employment Monthly'!$B138:$SD138))</f>
        <v>304.25</v>
      </c>
      <c r="F11" s="442">
        <f>IF($A$7=$A$100, AVERAGEIF('Historic Employment Monthly'!$B$2:$SD$2,'Calendar Year Employment'!F$7,'Historic Employment Monthly'!$B50:$SD50),AVERAGEIF('Historic Employment Monthly'!$B$2:$SD$2,'Calendar Year Employment'!F$7,'Historic Employment Monthly'!$B138:$SD138))</f>
        <v>302.83333333333331</v>
      </c>
      <c r="G11" s="442">
        <f>IF($A$7=$A$100, AVERAGEIF('Historic Employment Monthly'!$B$2:$SD$2,'Calendar Year Employment'!G$7,'Historic Employment Monthly'!$B50:$SD50),AVERAGEIF('Historic Employment Monthly'!$B$2:$SD$2,'Calendar Year Employment'!G$7,'Historic Employment Monthly'!$B138:$SD138))</f>
        <v>342.08333333333331</v>
      </c>
      <c r="H11" s="442">
        <f>IF($A$7=$A$100, AVERAGEIF('Historic Employment Monthly'!$B$2:$SD$2,'Calendar Year Employment'!H$7,'Historic Employment Monthly'!$B50:$SD50),AVERAGEIF('Historic Employment Monthly'!$B$2:$SD$2,'Calendar Year Employment'!H$7,'Historic Employment Monthly'!$B138:$SD138))</f>
        <v>416.91666666666669</v>
      </c>
      <c r="I11" s="442">
        <f>IF($A$7=$A$100, AVERAGEIF('Historic Employment Monthly'!$B$2:$SD$2,'Calendar Year Employment'!I$7,'Historic Employment Monthly'!$B50:$SD50),AVERAGEIF('Historic Employment Monthly'!$B$2:$SD$2,'Calendar Year Employment'!I$7,'Historic Employment Monthly'!$B138:$SD138))</f>
        <v>523.25</v>
      </c>
      <c r="J11" s="442">
        <f>IF($A$7=$A$100, AVERAGEIF('Historic Employment Monthly'!$B$2:$SD$2,'Calendar Year Employment'!J$7,'Historic Employment Monthly'!$B50:$SD50),AVERAGEIF('Historic Employment Monthly'!$B$2:$SD$2,'Calendar Year Employment'!J$7,'Historic Employment Monthly'!$B138:$SD138))</f>
        <v>601.25</v>
      </c>
      <c r="K11" s="442">
        <f>IF($A$7=$A$100, AVERAGEIF('Historic Employment Monthly'!$B$2:$SD$2,'Calendar Year Employment'!K$7,'Historic Employment Monthly'!$B50:$SD50),AVERAGEIF('Historic Employment Monthly'!$B$2:$SD$2,'Calendar Year Employment'!K$7,'Historic Employment Monthly'!$B138:$SD138))</f>
        <v>569.58333333333337</v>
      </c>
      <c r="L11" s="442">
        <f>IF($A$7=$A$100, AVERAGEIF('Historic Employment Monthly'!$B$2:$SD$2,'Calendar Year Employment'!L$7,'Historic Employment Monthly'!$B50:$SD50),AVERAGEIF('Historic Employment Monthly'!$B$2:$SD$2,'Calendar Year Employment'!L$7,'Historic Employment Monthly'!$B138:$SD138))</f>
        <v>655.58333333333337</v>
      </c>
      <c r="M11" s="442">
        <f>IF($A$7=$A$100, AVERAGEIF('Historic Employment Monthly'!$B$2:$SD$2,'Calendar Year Employment'!M$7,'Historic Employment Monthly'!$B50:$SD50),AVERAGEIF('Historic Employment Monthly'!$B$2:$SD$2,'Calendar Year Employment'!M$7,'Historic Employment Monthly'!$B138:$SD138))</f>
        <v>786.66666666666663</v>
      </c>
      <c r="N11" s="442">
        <f>IF($A$7=$A$100, AVERAGEIF('Historic Employment Monthly'!$B$2:$SD$2,'Calendar Year Employment'!N$7,'Historic Employment Monthly'!$B50:$SD50),AVERAGEIF('Historic Employment Monthly'!$B$2:$SD$2,'Calendar Year Employment'!N$7,'Historic Employment Monthly'!$B138:$SD138))</f>
        <v>961.83333333333337</v>
      </c>
      <c r="O11" s="442">
        <f>IF($A$7=$A$100, AVERAGEIF('Historic Employment Monthly'!$B$2:$SD$2,'Calendar Year Employment'!O$7,'Historic Employment Monthly'!$B50:$SD50),AVERAGEIF('Historic Employment Monthly'!$B$2:$SD$2,'Calendar Year Employment'!O$7,'Historic Employment Monthly'!$B138:$SD138))</f>
        <v>935.08333333333337</v>
      </c>
      <c r="P11" s="442">
        <f>IF($A$7=$A$100, AVERAGEIF('Historic Employment Monthly'!$B$2:$SD$2,'Calendar Year Employment'!P$7,'Historic Employment Monthly'!$B50:$SD50),AVERAGEIF('Historic Employment Monthly'!$B$2:$SD$2,'Calendar Year Employment'!P$7,'Historic Employment Monthly'!$B138:$SD138))</f>
        <v>1317.0833333333333</v>
      </c>
      <c r="Q11" s="442">
        <f>IF($A$7=$A$100, AVERAGEIF('Historic Employment Monthly'!$B$2:$SD$2,'Calendar Year Employment'!Q$7,'Historic Employment Monthly'!$B50:$SD50),AVERAGEIF('Historic Employment Monthly'!$B$2:$SD$2,'Calendar Year Employment'!Q$7,'Historic Employment Monthly'!$B138:$SD138))</f>
        <v>1450.3333333333333</v>
      </c>
      <c r="R11" s="353">
        <f>IF($A$7=$A$100, AVERAGEIF('Historic Employment Monthly'!$B$2:$SD$2,'Calendar Year Employment'!R$7,'Historic Employment Monthly'!$B50:$SD50),AVERAGEIF('Historic Employment Monthly'!$B$2:$SD$2,'Calendar Year Employment'!R$7,'Historic Employment Monthly'!$B138:$SD138))</f>
        <v>1817.4166666666667</v>
      </c>
      <c r="S11" s="229"/>
      <c r="T11" s="228"/>
      <c r="U11" s="229"/>
    </row>
    <row r="12" spans="1:71" s="184" customFormat="1">
      <c r="A12" s="159" t="s">
        <v>185</v>
      </c>
      <c r="B12" s="349"/>
      <c r="C12" s="348">
        <f>IF($A$7=$A$100, AVERAGEIF('Historic Employment Monthly'!$B$2:$SD$2,'Calendar Year Employment'!C$7,'Historic Employment Monthly'!$B51:$SD51),AVERAGEIF('Historic Employment Monthly'!$B$2:$SD$2,'Calendar Year Employment'!C$7,'Historic Employment Monthly'!$B139:$SD139))</f>
        <v>1009</v>
      </c>
      <c r="D12" s="348">
        <f>IF($A$7=$A$100, AVERAGEIF('Historic Employment Monthly'!$B$2:$SD$2,'Calendar Year Employment'!D$7,'Historic Employment Monthly'!$B51:$SD51),AVERAGEIF('Historic Employment Monthly'!$B$2:$SD$2,'Calendar Year Employment'!D$7,'Historic Employment Monthly'!$B139:$SD139))</f>
        <v>1100.6666666666667</v>
      </c>
      <c r="E12" s="348">
        <f>IF($A$7=$A$100, AVERAGEIF('Historic Employment Monthly'!$B$2:$SD$2,'Calendar Year Employment'!E$7,'Historic Employment Monthly'!$B51:$SD51),AVERAGEIF('Historic Employment Monthly'!$B$2:$SD$2,'Calendar Year Employment'!E$7,'Historic Employment Monthly'!$B139:$SD139))</f>
        <v>1093.75</v>
      </c>
      <c r="F12" s="348">
        <f>IF($A$7=$A$100, AVERAGEIF('Historic Employment Monthly'!$B$2:$SD$2,'Calendar Year Employment'!F$7,'Historic Employment Monthly'!$B51:$SD51),AVERAGEIF('Historic Employment Monthly'!$B$2:$SD$2,'Calendar Year Employment'!F$7,'Historic Employment Monthly'!$B139:$SD139))</f>
        <v>1397.1666666666667</v>
      </c>
      <c r="G12" s="348">
        <f>IF($A$7=$A$100, AVERAGEIF('Historic Employment Monthly'!$B$2:$SD$2,'Calendar Year Employment'!G$7,'Historic Employment Monthly'!$B51:$SD51),AVERAGEIF('Historic Employment Monthly'!$B$2:$SD$2,'Calendar Year Employment'!G$7,'Historic Employment Monthly'!$B139:$SD139))</f>
        <v>1478.1666666666667</v>
      </c>
      <c r="H12" s="348">
        <f>IF($A$7=$A$100, AVERAGEIF('Historic Employment Monthly'!$B$2:$SD$2,'Calendar Year Employment'!H$7,'Historic Employment Monthly'!$B51:$SD51),AVERAGEIF('Historic Employment Monthly'!$B$2:$SD$2,'Calendar Year Employment'!H$7,'Historic Employment Monthly'!$B139:$SD139))</f>
        <v>1616.1666666666667</v>
      </c>
      <c r="I12" s="441">
        <f>IF($A$7=$A$100, AVERAGEIF('Historic Employment Monthly'!$B$2:$SD$2,'Calendar Year Employment'!I$7,'Historic Employment Monthly'!$B51:$SD51),AVERAGEIF('Historic Employment Monthly'!$B$2:$SD$2,'Calendar Year Employment'!I$7,'Historic Employment Monthly'!$B139:$SD139))</f>
        <v>1863.75</v>
      </c>
      <c r="J12" s="441">
        <f>IF($A$7=$A$100, AVERAGEIF('Historic Employment Monthly'!$B$2:$SD$2,'Calendar Year Employment'!J$7,'Historic Employment Monthly'!$B51:$SD51),AVERAGEIF('Historic Employment Monthly'!$B$2:$SD$2,'Calendar Year Employment'!J$7,'Historic Employment Monthly'!$B139:$SD139))</f>
        <v>2217.9166666666665</v>
      </c>
      <c r="K12" s="441">
        <f>IF($A$7=$A$100, AVERAGEIF('Historic Employment Monthly'!$B$2:$SD$2,'Calendar Year Employment'!K$7,'Historic Employment Monthly'!$B51:$SD51),AVERAGEIF('Historic Employment Monthly'!$B$2:$SD$2,'Calendar Year Employment'!K$7,'Historic Employment Monthly'!$B139:$SD139))</f>
        <v>1377.75</v>
      </c>
      <c r="L12" s="441">
        <f>IF($A$7=$A$100, AVERAGEIF('Historic Employment Monthly'!$B$2:$SD$2,'Calendar Year Employment'!L$7,'Historic Employment Monthly'!$B51:$SD51),AVERAGEIF('Historic Employment Monthly'!$B$2:$SD$2,'Calendar Year Employment'!L$7,'Historic Employment Monthly'!$B139:$SD139))</f>
        <v>1502.9166666666667</v>
      </c>
      <c r="M12" s="441">
        <f>IF($A$7=$A$100, AVERAGEIF('Historic Employment Monthly'!$B$2:$SD$2,'Calendar Year Employment'!M$7,'Historic Employment Monthly'!$B51:$SD51),AVERAGEIF('Historic Employment Monthly'!$B$2:$SD$2,'Calendar Year Employment'!M$7,'Historic Employment Monthly'!$B139:$SD139))</f>
        <v>1942.5</v>
      </c>
      <c r="N12" s="441">
        <f>IF($A$7=$A$100, AVERAGEIF('Historic Employment Monthly'!$B$2:$SD$2,'Calendar Year Employment'!N$7,'Historic Employment Monthly'!$B51:$SD51),AVERAGEIF('Historic Employment Monthly'!$B$2:$SD$2,'Calendar Year Employment'!N$7,'Historic Employment Monthly'!$B139:$SD139))</f>
        <v>2457.5</v>
      </c>
      <c r="O12" s="441">
        <f>IF($A$7=$A$100, AVERAGEIF('Historic Employment Monthly'!$B$2:$SD$2,'Calendar Year Employment'!O$7,'Historic Employment Monthly'!$B51:$SD51),AVERAGEIF('Historic Employment Monthly'!$B$2:$SD$2,'Calendar Year Employment'!O$7,'Historic Employment Monthly'!$B139:$SD139))</f>
        <v>1906</v>
      </c>
      <c r="P12" s="441">
        <f>IF($A$7=$A$100, AVERAGEIF('Historic Employment Monthly'!$B$2:$SD$2,'Calendar Year Employment'!P$7,'Historic Employment Monthly'!$B51:$SD51),AVERAGEIF('Historic Employment Monthly'!$B$2:$SD$2,'Calendar Year Employment'!P$7,'Historic Employment Monthly'!$B139:$SD139))</f>
        <v>1513.25</v>
      </c>
      <c r="Q12" s="441">
        <f>IF($A$7=$A$100, AVERAGEIF('Historic Employment Monthly'!$B$2:$SD$2,'Calendar Year Employment'!Q$7,'Historic Employment Monthly'!$B51:$SD51),AVERAGEIF('Historic Employment Monthly'!$B$2:$SD$2,'Calendar Year Employment'!Q$7,'Historic Employment Monthly'!$B139:$SD139))</f>
        <v>1193.9166666666667</v>
      </c>
      <c r="R12" s="352">
        <f>IF($A$7=$A$100, AVERAGEIF('Historic Employment Monthly'!$B$2:$SD$2,'Calendar Year Employment'!R$7,'Historic Employment Monthly'!$B51:$SD51),AVERAGEIF('Historic Employment Monthly'!$B$2:$SD$2,'Calendar Year Employment'!R$7,'Historic Employment Monthly'!$B139:$SD139))</f>
        <v>873</v>
      </c>
      <c r="S12" s="229"/>
      <c r="T12" s="228"/>
      <c r="U12" s="229"/>
    </row>
    <row r="13" spans="1:71" s="184" customFormat="1">
      <c r="A13" s="159" t="s">
        <v>15</v>
      </c>
      <c r="B13" s="350"/>
      <c r="C13" s="442">
        <f>IF($A$7=$A$100, AVERAGEIF('Historic Employment Monthly'!$B$2:$SD$2,'Calendar Year Employment'!C$7,'Historic Employment Monthly'!$B52:$SD52),AVERAGEIF('Historic Employment Monthly'!$B$2:$SD$2,'Calendar Year Employment'!C$7,'Historic Employment Monthly'!$B140:$SD140))</f>
        <v>12230.75</v>
      </c>
      <c r="D13" s="442">
        <f>IF($A$7=$A$100, AVERAGEIF('Historic Employment Monthly'!$B$2:$SD$2,'Calendar Year Employment'!D$7,'Historic Employment Monthly'!$B52:$SD52),AVERAGEIF('Historic Employment Monthly'!$B$2:$SD$2,'Calendar Year Employment'!D$7,'Historic Employment Monthly'!$B140:$SD140))</f>
        <v>12766</v>
      </c>
      <c r="E13" s="442">
        <f>IF($A$7=$A$100, AVERAGEIF('Historic Employment Monthly'!$B$2:$SD$2,'Calendar Year Employment'!E$7,'Historic Employment Monthly'!$B52:$SD52),AVERAGEIF('Historic Employment Monthly'!$B$2:$SD$2,'Calendar Year Employment'!E$7,'Historic Employment Monthly'!$B140:$SD140))</f>
        <v>12877.333333333334</v>
      </c>
      <c r="F13" s="442">
        <f>IF($A$7=$A$100, AVERAGEIF('Historic Employment Monthly'!$B$2:$SD$2,'Calendar Year Employment'!F$7,'Historic Employment Monthly'!$B52:$SD52),AVERAGEIF('Historic Employment Monthly'!$B$2:$SD$2,'Calendar Year Employment'!F$7,'Historic Employment Monthly'!$B140:$SD140))</f>
        <v>13154.666666666666</v>
      </c>
      <c r="G13" s="442">
        <f>IF($A$7=$A$100, AVERAGEIF('Historic Employment Monthly'!$B$2:$SD$2,'Calendar Year Employment'!G$7,'Historic Employment Monthly'!$B52:$SD52),AVERAGEIF('Historic Employment Monthly'!$B$2:$SD$2,'Calendar Year Employment'!G$7,'Historic Employment Monthly'!$B140:$SD140))</f>
        <v>12202.583333333334</v>
      </c>
      <c r="H13" s="442">
        <f>IF($A$7=$A$100, AVERAGEIF('Historic Employment Monthly'!$B$2:$SD$2,'Calendar Year Employment'!H$7,'Historic Employment Monthly'!$B52:$SD52),AVERAGEIF('Historic Employment Monthly'!$B$2:$SD$2,'Calendar Year Employment'!H$7,'Historic Employment Monthly'!$B140:$SD140))</f>
        <v>12338.916666666666</v>
      </c>
      <c r="I13" s="442">
        <f>IF($A$7=$A$100, AVERAGEIF('Historic Employment Monthly'!$B$2:$SD$2,'Calendar Year Employment'!I$7,'Historic Employment Monthly'!$B52:$SD52),AVERAGEIF('Historic Employment Monthly'!$B$2:$SD$2,'Calendar Year Employment'!I$7,'Historic Employment Monthly'!$B140:$SD140))</f>
        <v>13740.416666666666</v>
      </c>
      <c r="J13" s="442">
        <f>IF($A$7=$A$100, AVERAGEIF('Historic Employment Monthly'!$B$2:$SD$2,'Calendar Year Employment'!J$7,'Historic Employment Monthly'!$B52:$SD52),AVERAGEIF('Historic Employment Monthly'!$B$2:$SD$2,'Calendar Year Employment'!J$7,'Historic Employment Monthly'!$B140:$SD140))</f>
        <v>14494</v>
      </c>
      <c r="K13" s="442">
        <f>IF($A$7=$A$100, AVERAGEIF('Historic Employment Monthly'!$B$2:$SD$2,'Calendar Year Employment'!K$7,'Historic Employment Monthly'!$B52:$SD52),AVERAGEIF('Historic Employment Monthly'!$B$2:$SD$2,'Calendar Year Employment'!K$7,'Historic Employment Monthly'!$B140:$SD140))</f>
        <v>16601.833333333332</v>
      </c>
      <c r="L13" s="442">
        <f>IF($A$7=$A$100, AVERAGEIF('Historic Employment Monthly'!$B$2:$SD$2,'Calendar Year Employment'!L$7,'Historic Employment Monthly'!$B52:$SD52),AVERAGEIF('Historic Employment Monthly'!$B$2:$SD$2,'Calendar Year Employment'!L$7,'Historic Employment Monthly'!$B140:$SD140))</f>
        <v>17884.333333333332</v>
      </c>
      <c r="M13" s="442">
        <f>IF($A$7=$A$100, AVERAGEIF('Historic Employment Monthly'!$B$2:$SD$2,'Calendar Year Employment'!M$7,'Historic Employment Monthly'!$B52:$SD52),AVERAGEIF('Historic Employment Monthly'!$B$2:$SD$2,'Calendar Year Employment'!M$7,'Historic Employment Monthly'!$B140:$SD140))</f>
        <v>20660.25</v>
      </c>
      <c r="N13" s="442">
        <f>IF($A$7=$A$100, AVERAGEIF('Historic Employment Monthly'!$B$2:$SD$2,'Calendar Year Employment'!N$7,'Historic Employment Monthly'!$B52:$SD52),AVERAGEIF('Historic Employment Monthly'!$B$2:$SD$2,'Calendar Year Employment'!N$7,'Historic Employment Monthly'!$B140:$SD140))</f>
        <v>22790.416666666668</v>
      </c>
      <c r="O13" s="442">
        <f>IF($A$7=$A$100, AVERAGEIF('Historic Employment Monthly'!$B$2:$SD$2,'Calendar Year Employment'!O$7,'Historic Employment Monthly'!$B52:$SD52),AVERAGEIF('Historic Employment Monthly'!$B$2:$SD$2,'Calendar Year Employment'!O$7,'Historic Employment Monthly'!$B140:$SD140))</f>
        <v>20567.25</v>
      </c>
      <c r="P13" s="442">
        <f>IF($A$7=$A$100, AVERAGEIF('Historic Employment Monthly'!$B$2:$SD$2,'Calendar Year Employment'!P$7,'Historic Employment Monthly'!$B52:$SD52),AVERAGEIF('Historic Employment Monthly'!$B$2:$SD$2,'Calendar Year Employment'!P$7,'Historic Employment Monthly'!$B140:$SD140))</f>
        <v>18356.083333333332</v>
      </c>
      <c r="Q13" s="442">
        <f>IF($A$7=$A$100, AVERAGEIF('Historic Employment Monthly'!$B$2:$SD$2,'Calendar Year Employment'!Q$7,'Historic Employment Monthly'!$B52:$SD52),AVERAGEIF('Historic Employment Monthly'!$B$2:$SD$2,'Calendar Year Employment'!Q$7,'Historic Employment Monthly'!$B140:$SD140))</f>
        <v>21372.75</v>
      </c>
      <c r="R13" s="353">
        <f>IF($A$7=$A$100, AVERAGEIF('Historic Employment Monthly'!$B$2:$SD$2,'Calendar Year Employment'!R$7,'Historic Employment Monthly'!$B52:$SD52),AVERAGEIF('Historic Employment Monthly'!$B$2:$SD$2,'Calendar Year Employment'!R$7,'Historic Employment Monthly'!$B140:$SD140))</f>
        <v>25494.833333333332</v>
      </c>
      <c r="S13" s="229"/>
      <c r="T13" s="228"/>
      <c r="U13" s="229"/>
    </row>
    <row r="14" spans="1:71" s="184" customFormat="1">
      <c r="A14" s="159" t="s">
        <v>349</v>
      </c>
      <c r="B14" s="349"/>
      <c r="C14" s="348">
        <f>IF($A$7=$A$100, AVERAGEIF('Historic Employment Monthly'!$B$2:$SD$2,'Calendar Year Employment'!C$7,'Historic Employment Monthly'!$B53:$SD53),AVERAGEIF('Historic Employment Monthly'!$B$2:$SD$2,'Calendar Year Employment'!C$7,'Historic Employment Monthly'!$B141:$SD141))</f>
        <v>2259.75</v>
      </c>
      <c r="D14" s="348">
        <f>IF($A$7=$A$100, AVERAGEIF('Historic Employment Monthly'!$B$2:$SD$2,'Calendar Year Employment'!D$7,'Historic Employment Monthly'!$B53:$SD53),AVERAGEIF('Historic Employment Monthly'!$B$2:$SD$2,'Calendar Year Employment'!D$7,'Historic Employment Monthly'!$B141:$SD141))</f>
        <v>2141.5</v>
      </c>
      <c r="E14" s="348">
        <f>IF($A$7=$A$100, AVERAGEIF('Historic Employment Monthly'!$B$2:$SD$2,'Calendar Year Employment'!E$7,'Historic Employment Monthly'!$B53:$SD53),AVERAGEIF('Historic Employment Monthly'!$B$2:$SD$2,'Calendar Year Employment'!E$7,'Historic Employment Monthly'!$B141:$SD141))</f>
        <v>2209.5</v>
      </c>
      <c r="F14" s="348">
        <f>IF($A$7=$A$100, AVERAGEIF('Historic Employment Monthly'!$B$2:$SD$2,'Calendar Year Employment'!F$7,'Historic Employment Monthly'!$B53:$SD53),AVERAGEIF('Historic Employment Monthly'!$B$2:$SD$2,'Calendar Year Employment'!F$7,'Historic Employment Monthly'!$B141:$SD141))</f>
        <v>2408.8333333333335</v>
      </c>
      <c r="G14" s="348">
        <f>IF($A$7=$A$100, AVERAGEIF('Historic Employment Monthly'!$B$2:$SD$2,'Calendar Year Employment'!G$7,'Historic Employment Monthly'!$B53:$SD53),AVERAGEIF('Historic Employment Monthly'!$B$2:$SD$2,'Calendar Year Employment'!G$7,'Historic Employment Monthly'!$B141:$SD141))</f>
        <v>2628.25</v>
      </c>
      <c r="H14" s="348">
        <f>IF($A$7=$A$100, AVERAGEIF('Historic Employment Monthly'!$B$2:$SD$2,'Calendar Year Employment'!H$7,'Historic Employment Monthly'!$B53:$SD53),AVERAGEIF('Historic Employment Monthly'!$B$2:$SD$2,'Calendar Year Employment'!H$7,'Historic Employment Monthly'!$B141:$SD141))</f>
        <v>2900.9166666666665</v>
      </c>
      <c r="I14" s="441">
        <f>IF($A$7=$A$100, AVERAGEIF('Historic Employment Monthly'!$B$2:$SD$2,'Calendar Year Employment'!I$7,'Historic Employment Monthly'!$B53:$SD53),AVERAGEIF('Historic Employment Monthly'!$B$2:$SD$2,'Calendar Year Employment'!I$7,'Historic Employment Monthly'!$B141:$SD141))</f>
        <v>2839.9166666666665</v>
      </c>
      <c r="J14" s="441">
        <f>IF($A$7=$A$100, AVERAGEIF('Historic Employment Monthly'!$B$2:$SD$2,'Calendar Year Employment'!J$7,'Historic Employment Monthly'!$B53:$SD53),AVERAGEIF('Historic Employment Monthly'!$B$2:$SD$2,'Calendar Year Employment'!J$7,'Historic Employment Monthly'!$B141:$SD141))</f>
        <v>2688.25</v>
      </c>
      <c r="K14" s="441">
        <f>IF($A$7=$A$100, AVERAGEIF('Historic Employment Monthly'!$B$2:$SD$2,'Calendar Year Employment'!K$7,'Historic Employment Monthly'!$B53:$SD53),AVERAGEIF('Historic Employment Monthly'!$B$2:$SD$2,'Calendar Year Employment'!K$7,'Historic Employment Monthly'!$B141:$SD141))</f>
        <v>2093.0833333333335</v>
      </c>
      <c r="L14" s="441">
        <f>IF($A$7=$A$100, AVERAGEIF('Historic Employment Monthly'!$B$2:$SD$2,'Calendar Year Employment'!L$7,'Historic Employment Monthly'!$B53:$SD53),AVERAGEIF('Historic Employment Monthly'!$B$2:$SD$2,'Calendar Year Employment'!L$7,'Historic Employment Monthly'!$B141:$SD141))</f>
        <v>1783.4166666666667</v>
      </c>
      <c r="M14" s="441">
        <f>IF($A$7=$A$100, AVERAGEIF('Historic Employment Monthly'!$B$2:$SD$2,'Calendar Year Employment'!M$7,'Historic Employment Monthly'!$B53:$SD53),AVERAGEIF('Historic Employment Monthly'!$B$2:$SD$2,'Calendar Year Employment'!M$7,'Historic Employment Monthly'!$B141:$SD141))</f>
        <v>2019.5</v>
      </c>
      <c r="N14" s="441">
        <f>IF($A$7=$A$100, AVERAGEIF('Historic Employment Monthly'!$B$2:$SD$2,'Calendar Year Employment'!N$7,'Historic Employment Monthly'!$B53:$SD53),AVERAGEIF('Historic Employment Monthly'!$B$2:$SD$2,'Calendar Year Employment'!N$7,'Historic Employment Monthly'!$B141:$SD141))</f>
        <v>2202.5833333333335</v>
      </c>
      <c r="O14" s="441">
        <f>IF($A$7=$A$100, AVERAGEIF('Historic Employment Monthly'!$B$2:$SD$2,'Calendar Year Employment'!O$7,'Historic Employment Monthly'!$B53:$SD53),AVERAGEIF('Historic Employment Monthly'!$B$2:$SD$2,'Calendar Year Employment'!O$7,'Historic Employment Monthly'!$B141:$SD141))</f>
        <v>2500.5</v>
      </c>
      <c r="P14" s="441">
        <f>IF($A$7=$A$100, AVERAGEIF('Historic Employment Monthly'!$B$2:$SD$2,'Calendar Year Employment'!P$7,'Historic Employment Monthly'!$B53:$SD53),AVERAGEIF('Historic Employment Monthly'!$B$2:$SD$2,'Calendar Year Employment'!P$7,'Historic Employment Monthly'!$B141:$SD141))</f>
        <v>2237.25</v>
      </c>
      <c r="Q14" s="441">
        <f>IF($A$7=$A$100, AVERAGEIF('Historic Employment Monthly'!$B$2:$SD$2,'Calendar Year Employment'!Q$7,'Historic Employment Monthly'!$B53:$SD53),AVERAGEIF('Historic Employment Monthly'!$B$2:$SD$2,'Calendar Year Employment'!Q$7,'Historic Employment Monthly'!$B141:$SD141))</f>
        <v>2301.25</v>
      </c>
      <c r="R14" s="352">
        <f>IF($A$7=$A$100, AVERAGEIF('Historic Employment Monthly'!$B$2:$SD$2,'Calendar Year Employment'!R$7,'Historic Employment Monthly'!$B53:$SD53),AVERAGEIF('Historic Employment Monthly'!$B$2:$SD$2,'Calendar Year Employment'!R$7,'Historic Employment Monthly'!$B141:$SD141))</f>
        <v>2396.5</v>
      </c>
      <c r="S14" s="229"/>
      <c r="T14" s="228"/>
      <c r="U14" s="229"/>
    </row>
    <row r="15" spans="1:71" s="184" customFormat="1">
      <c r="A15" s="159" t="s">
        <v>180</v>
      </c>
      <c r="B15" s="350"/>
      <c r="C15" s="442">
        <f>IF($A$7=$A$100, AVERAGEIF('Historic Employment Monthly'!$B$2:$SD$2,'Calendar Year Employment'!C$7,'Historic Employment Monthly'!$B54:$SD54),AVERAGEIF('Historic Employment Monthly'!$B$2:$SD$2,'Calendar Year Employment'!C$7,'Historic Employment Monthly'!$B142:$SD142))</f>
        <v>8750.4166666666661</v>
      </c>
      <c r="D15" s="442">
        <f>IF($A$7=$A$100, AVERAGEIF('Historic Employment Monthly'!$B$2:$SD$2,'Calendar Year Employment'!D$7,'Historic Employment Monthly'!$B54:$SD54),AVERAGEIF('Historic Employment Monthly'!$B$2:$SD$2,'Calendar Year Employment'!D$7,'Historic Employment Monthly'!$B142:$SD142))</f>
        <v>9226.4166666666661</v>
      </c>
      <c r="E15" s="442">
        <f>IF($A$7=$A$100, AVERAGEIF('Historic Employment Monthly'!$B$2:$SD$2,'Calendar Year Employment'!E$7,'Historic Employment Monthly'!$B54:$SD54),AVERAGEIF('Historic Employment Monthly'!$B$2:$SD$2,'Calendar Year Employment'!E$7,'Historic Employment Monthly'!$B142:$SD142))</f>
        <v>10880.583333333334</v>
      </c>
      <c r="F15" s="442">
        <f>IF($A$7=$A$100, AVERAGEIF('Historic Employment Monthly'!$B$2:$SD$2,'Calendar Year Employment'!F$7,'Historic Employment Monthly'!$B54:$SD54),AVERAGEIF('Historic Employment Monthly'!$B$2:$SD$2,'Calendar Year Employment'!F$7,'Historic Employment Monthly'!$B142:$SD142))</f>
        <v>12178.166666666666</v>
      </c>
      <c r="G15" s="442">
        <f>IF($A$7=$A$100, AVERAGEIF('Historic Employment Monthly'!$B$2:$SD$2,'Calendar Year Employment'!G$7,'Historic Employment Monthly'!$B54:$SD54),AVERAGEIF('Historic Employment Monthly'!$B$2:$SD$2,'Calendar Year Employment'!G$7,'Historic Employment Monthly'!$B142:$SD142))</f>
        <v>13245.416666666666</v>
      </c>
      <c r="H15" s="442">
        <f>IF($A$7=$A$100, AVERAGEIF('Historic Employment Monthly'!$B$2:$SD$2,'Calendar Year Employment'!H$7,'Historic Employment Monthly'!$B54:$SD54),AVERAGEIF('Historic Employment Monthly'!$B$2:$SD$2,'Calendar Year Employment'!H$7,'Historic Employment Monthly'!$B142:$SD142))</f>
        <v>15576.5</v>
      </c>
      <c r="I15" s="442">
        <f>IF($A$7=$A$100, AVERAGEIF('Historic Employment Monthly'!$B$2:$SD$2,'Calendar Year Employment'!I$7,'Historic Employment Monthly'!$B54:$SD54),AVERAGEIF('Historic Employment Monthly'!$B$2:$SD$2,'Calendar Year Employment'!I$7,'Historic Employment Monthly'!$B142:$SD142))</f>
        <v>17798.833333333332</v>
      </c>
      <c r="J15" s="442">
        <f>IF($A$7=$A$100, AVERAGEIF('Historic Employment Monthly'!$B$2:$SD$2,'Calendar Year Employment'!J$7,'Historic Employment Monthly'!$B54:$SD54),AVERAGEIF('Historic Employment Monthly'!$B$2:$SD$2,'Calendar Year Employment'!J$7,'Historic Employment Monthly'!$B142:$SD142))</f>
        <v>22354.083333333332</v>
      </c>
      <c r="K15" s="442">
        <f>IF($A$7=$A$100, AVERAGEIF('Historic Employment Monthly'!$B$2:$SD$2,'Calendar Year Employment'!K$7,'Historic Employment Monthly'!$B54:$SD54),AVERAGEIF('Historic Employment Monthly'!$B$2:$SD$2,'Calendar Year Employment'!K$7,'Historic Employment Monthly'!$B142:$SD142))</f>
        <v>25000.083333333332</v>
      </c>
      <c r="L15" s="442">
        <f>IF($A$7=$A$100, AVERAGEIF('Historic Employment Monthly'!$B$2:$SD$2,'Calendar Year Employment'!L$7,'Historic Employment Monthly'!$B54:$SD54),AVERAGEIF('Historic Employment Monthly'!$B$2:$SD$2,'Calendar Year Employment'!L$7,'Historic Employment Monthly'!$B142:$SD142))</f>
        <v>27510.75</v>
      </c>
      <c r="M15" s="442">
        <f>IF($A$7=$A$100, AVERAGEIF('Historic Employment Monthly'!$B$2:$SD$2,'Calendar Year Employment'!M$7,'Historic Employment Monthly'!$B54:$SD54),AVERAGEIF('Historic Employment Monthly'!$B$2:$SD$2,'Calendar Year Employment'!M$7,'Historic Employment Monthly'!$B142:$SD142))</f>
        <v>33522.166666666664</v>
      </c>
      <c r="N15" s="442">
        <f>IF($A$7=$A$100, AVERAGEIF('Historic Employment Monthly'!$B$2:$SD$2,'Calendar Year Employment'!N$7,'Historic Employment Monthly'!$B54:$SD54),AVERAGEIF('Historic Employment Monthly'!$B$2:$SD$2,'Calendar Year Employment'!N$7,'Historic Employment Monthly'!$B142:$SD142))</f>
        <v>49345.333333333336</v>
      </c>
      <c r="O15" s="442">
        <f>IF($A$7=$A$100, AVERAGEIF('Historic Employment Monthly'!$B$2:$SD$2,'Calendar Year Employment'!O$7,'Historic Employment Monthly'!$B54:$SD54),AVERAGEIF('Historic Employment Monthly'!$B$2:$SD$2,'Calendar Year Employment'!O$7,'Historic Employment Monthly'!$B142:$SD142))</f>
        <v>60292.416666666664</v>
      </c>
      <c r="P15" s="442">
        <f>IF($A$7=$A$100, AVERAGEIF('Historic Employment Monthly'!$B$2:$SD$2,'Calendar Year Employment'!P$7,'Historic Employment Monthly'!$B54:$SD54),AVERAGEIF('Historic Employment Monthly'!$B$2:$SD$2,'Calendar Year Employment'!P$7,'Historic Employment Monthly'!$B142:$SD142))</f>
        <v>61948.083333333336</v>
      </c>
      <c r="Q15" s="442">
        <f>IF($A$7=$A$100, AVERAGEIF('Historic Employment Monthly'!$B$2:$SD$2,'Calendar Year Employment'!Q$7,'Historic Employment Monthly'!$B54:$SD54),AVERAGEIF('Historic Employment Monthly'!$B$2:$SD$2,'Calendar Year Employment'!Q$7,'Historic Employment Monthly'!$B142:$SD142))</f>
        <v>54947.5</v>
      </c>
      <c r="R15" s="353">
        <f>IF($A$7=$A$100, AVERAGEIF('Historic Employment Monthly'!$B$2:$SD$2,'Calendar Year Employment'!R$7,'Historic Employment Monthly'!$B54:$SD54),AVERAGEIF('Historic Employment Monthly'!$B$2:$SD$2,'Calendar Year Employment'!R$7,'Historic Employment Monthly'!$B142:$SD142))</f>
        <v>52315.416666666664</v>
      </c>
      <c r="S15" s="229"/>
      <c r="T15" s="228"/>
      <c r="U15" s="229"/>
    </row>
    <row r="16" spans="1:71" s="184" customFormat="1">
      <c r="A16" s="159" t="s">
        <v>17</v>
      </c>
      <c r="B16" s="349"/>
      <c r="C16" s="348">
        <f>IF($A$7=$A$100, AVERAGEIF('Historic Employment Monthly'!$B$2:$SD$2,'Calendar Year Employment'!C$7,'Historic Employment Monthly'!$B55:$SD55),AVERAGEIF('Historic Employment Monthly'!$B$2:$SD$2,'Calendar Year Employment'!C$7,'Historic Employment Monthly'!$B143:$SD143))</f>
        <v>5304.083333333333</v>
      </c>
      <c r="D16" s="348">
        <f>IF($A$7=$A$100, AVERAGEIF('Historic Employment Monthly'!$B$2:$SD$2,'Calendar Year Employment'!D$7,'Historic Employment Monthly'!$B55:$SD55),AVERAGEIF('Historic Employment Monthly'!$B$2:$SD$2,'Calendar Year Employment'!D$7,'Historic Employment Monthly'!$B143:$SD143))</f>
        <v>4814.833333333333</v>
      </c>
      <c r="E16" s="348">
        <f>IF($A$7=$A$100, AVERAGEIF('Historic Employment Monthly'!$B$2:$SD$2,'Calendar Year Employment'!E$7,'Historic Employment Monthly'!$B55:$SD55),AVERAGEIF('Historic Employment Monthly'!$B$2:$SD$2,'Calendar Year Employment'!E$7,'Historic Employment Monthly'!$B143:$SD143))</f>
        <v>5648.166666666667</v>
      </c>
      <c r="F16" s="348">
        <f>IF($A$7=$A$100, AVERAGEIF('Historic Employment Monthly'!$B$2:$SD$2,'Calendar Year Employment'!F$7,'Historic Employment Monthly'!$B55:$SD55),AVERAGEIF('Historic Employment Monthly'!$B$2:$SD$2,'Calendar Year Employment'!F$7,'Historic Employment Monthly'!$B143:$SD143))</f>
        <v>6649.75</v>
      </c>
      <c r="G16" s="348">
        <f>IF($A$7=$A$100, AVERAGEIF('Historic Employment Monthly'!$B$2:$SD$2,'Calendar Year Employment'!G$7,'Historic Employment Monthly'!$B55:$SD55),AVERAGEIF('Historic Employment Monthly'!$B$2:$SD$2,'Calendar Year Employment'!G$7,'Historic Employment Monthly'!$B143:$SD143))</f>
        <v>9383.5</v>
      </c>
      <c r="H16" s="348">
        <f>IF($A$7=$A$100, AVERAGEIF('Historic Employment Monthly'!$B$2:$SD$2,'Calendar Year Employment'!H$7,'Historic Employment Monthly'!$B55:$SD55),AVERAGEIF('Historic Employment Monthly'!$B$2:$SD$2,'Calendar Year Employment'!H$7,'Historic Employment Monthly'!$B143:$SD143))</f>
        <v>10645.083333333334</v>
      </c>
      <c r="I16" s="441">
        <f>IF($A$7=$A$100, AVERAGEIF('Historic Employment Monthly'!$B$2:$SD$2,'Calendar Year Employment'!I$7,'Historic Employment Monthly'!$B55:$SD55),AVERAGEIF('Historic Employment Monthly'!$B$2:$SD$2,'Calendar Year Employment'!I$7,'Historic Employment Monthly'!$B143:$SD143))</f>
        <v>12539.916666666666</v>
      </c>
      <c r="J16" s="441">
        <f>IF($A$7=$A$100, AVERAGEIF('Historic Employment Monthly'!$B$2:$SD$2,'Calendar Year Employment'!J$7,'Historic Employment Monthly'!$B55:$SD55),AVERAGEIF('Historic Employment Monthly'!$B$2:$SD$2,'Calendar Year Employment'!J$7,'Historic Employment Monthly'!$B143:$SD143))</f>
        <v>12685.083333333334</v>
      </c>
      <c r="K16" s="441">
        <f>IF($A$7=$A$100, AVERAGEIF('Historic Employment Monthly'!$B$2:$SD$2,'Calendar Year Employment'!K$7,'Historic Employment Monthly'!$B55:$SD55),AVERAGEIF('Historic Employment Monthly'!$B$2:$SD$2,'Calendar Year Employment'!K$7,'Historic Employment Monthly'!$B143:$SD143))</f>
        <v>7345.916666666667</v>
      </c>
      <c r="L16" s="441">
        <f>IF($A$7=$A$100, AVERAGEIF('Historic Employment Monthly'!$B$2:$SD$2,'Calendar Year Employment'!L$7,'Historic Employment Monthly'!$B55:$SD55),AVERAGEIF('Historic Employment Monthly'!$B$2:$SD$2,'Calendar Year Employment'!L$7,'Historic Employment Monthly'!$B143:$SD143))</f>
        <v>7972.666666666667</v>
      </c>
      <c r="M16" s="441">
        <f>IF($A$7=$A$100, AVERAGEIF('Historic Employment Monthly'!$B$2:$SD$2,'Calendar Year Employment'!M$7,'Historic Employment Monthly'!$B55:$SD55),AVERAGEIF('Historic Employment Monthly'!$B$2:$SD$2,'Calendar Year Employment'!M$7,'Historic Employment Monthly'!$B143:$SD143))</f>
        <v>9403.3333333333339</v>
      </c>
      <c r="N16" s="441">
        <f>IF($A$7=$A$100, AVERAGEIF('Historic Employment Monthly'!$B$2:$SD$2,'Calendar Year Employment'!N$7,'Historic Employment Monthly'!$B55:$SD55),AVERAGEIF('Historic Employment Monthly'!$B$2:$SD$2,'Calendar Year Employment'!N$7,'Historic Employment Monthly'!$B143:$SD143))</f>
        <v>8136.416666666667</v>
      </c>
      <c r="O16" s="441">
        <f>IF($A$7=$A$100, AVERAGEIF('Historic Employment Monthly'!$B$2:$SD$2,'Calendar Year Employment'!O$7,'Historic Employment Monthly'!$B55:$SD55),AVERAGEIF('Historic Employment Monthly'!$B$2:$SD$2,'Calendar Year Employment'!O$7,'Historic Employment Monthly'!$B143:$SD143))</f>
        <v>6994.333333333333</v>
      </c>
      <c r="P16" s="441">
        <f>IF($A$7=$A$100, AVERAGEIF('Historic Employment Monthly'!$B$2:$SD$2,'Calendar Year Employment'!P$7,'Historic Employment Monthly'!$B55:$SD55),AVERAGEIF('Historic Employment Monthly'!$B$2:$SD$2,'Calendar Year Employment'!P$7,'Historic Employment Monthly'!$B143:$SD143))</f>
        <v>6156.166666666667</v>
      </c>
      <c r="Q16" s="441">
        <f>IF($A$7=$A$100, AVERAGEIF('Historic Employment Monthly'!$B$2:$SD$2,'Calendar Year Employment'!Q$7,'Historic Employment Monthly'!$B55:$SD55),AVERAGEIF('Historic Employment Monthly'!$B$2:$SD$2,'Calendar Year Employment'!Q$7,'Historic Employment Monthly'!$B143:$SD143))</f>
        <v>6042.333333333333</v>
      </c>
      <c r="R16" s="352">
        <f>IF($A$7=$A$100, AVERAGEIF('Historic Employment Monthly'!$B$2:$SD$2,'Calendar Year Employment'!R$7,'Historic Employment Monthly'!$B55:$SD55),AVERAGEIF('Historic Employment Monthly'!$B$2:$SD$2,'Calendar Year Employment'!R$7,'Historic Employment Monthly'!$B143:$SD143))</f>
        <v>5444.333333333333</v>
      </c>
      <c r="S16" s="229"/>
      <c r="T16" s="228"/>
      <c r="U16" s="527">
        <f>SUM(R8:R20)</f>
        <v>104803.08333333333</v>
      </c>
    </row>
    <row r="17" spans="1:21" s="184" customFormat="1">
      <c r="A17" s="159" t="s">
        <v>120</v>
      </c>
      <c r="B17" s="350"/>
      <c r="C17" s="442">
        <f>IF($A$7=$A$100, AVERAGEIF('Historic Employment Monthly'!$B$2:$SD$2,'Calendar Year Employment'!C$7,'Historic Employment Monthly'!$B56:$SD56),AVERAGEIF('Historic Employment Monthly'!$B$2:$SD$2,'Calendar Year Employment'!C$7,'Historic Employment Monthly'!$B144:$SD144))</f>
        <v>711.16666666666663</v>
      </c>
      <c r="D17" s="442">
        <f>IF($A$7=$A$100, AVERAGEIF('Historic Employment Monthly'!$B$2:$SD$2,'Calendar Year Employment'!D$7,'Historic Employment Monthly'!$B56:$SD56),AVERAGEIF('Historic Employment Monthly'!$B$2:$SD$2,'Calendar Year Employment'!D$7,'Historic Employment Monthly'!$B144:$SD144))</f>
        <v>662.83333333333337</v>
      </c>
      <c r="E17" s="442">
        <f>IF($A$7=$A$100, AVERAGEIF('Historic Employment Monthly'!$B$2:$SD$2,'Calendar Year Employment'!E$7,'Historic Employment Monthly'!$B56:$SD56),AVERAGEIF('Historic Employment Monthly'!$B$2:$SD$2,'Calendar Year Employment'!E$7,'Historic Employment Monthly'!$B144:$SD144))</f>
        <v>664</v>
      </c>
      <c r="F17" s="442">
        <f>IF($A$7=$A$100, AVERAGEIF('Historic Employment Monthly'!$B$2:$SD$2,'Calendar Year Employment'!F$7,'Historic Employment Monthly'!$B56:$SD56),AVERAGEIF('Historic Employment Monthly'!$B$2:$SD$2,'Calendar Year Employment'!F$7,'Historic Employment Monthly'!$B144:$SD144))</f>
        <v>684.41666666666663</v>
      </c>
      <c r="G17" s="442">
        <f>IF($A$7=$A$100, AVERAGEIF('Historic Employment Monthly'!$B$2:$SD$2,'Calendar Year Employment'!G$7,'Historic Employment Monthly'!$B56:$SD56),AVERAGEIF('Historic Employment Monthly'!$B$2:$SD$2,'Calendar Year Employment'!G$7,'Historic Employment Monthly'!$B144:$SD144))</f>
        <v>852.58333333333337</v>
      </c>
      <c r="H17" s="442">
        <f>IF($A$7=$A$100, AVERAGEIF('Historic Employment Monthly'!$B$2:$SD$2,'Calendar Year Employment'!H$7,'Historic Employment Monthly'!$B56:$SD56),AVERAGEIF('Historic Employment Monthly'!$B$2:$SD$2,'Calendar Year Employment'!H$7,'Historic Employment Monthly'!$B144:$SD144))</f>
        <v>838.08333333333337</v>
      </c>
      <c r="I17" s="442">
        <f>IF($A$7=$A$100, AVERAGEIF('Historic Employment Monthly'!$B$2:$SD$2,'Calendar Year Employment'!I$7,'Historic Employment Monthly'!$B56:$SD56),AVERAGEIF('Historic Employment Monthly'!$B$2:$SD$2,'Calendar Year Employment'!I$7,'Historic Employment Monthly'!$B144:$SD144))</f>
        <v>864.75</v>
      </c>
      <c r="J17" s="442">
        <f>IF($A$7=$A$100, AVERAGEIF('Historic Employment Monthly'!$B$2:$SD$2,'Calendar Year Employment'!J$7,'Historic Employment Monthly'!$B56:$SD56),AVERAGEIF('Historic Employment Monthly'!$B$2:$SD$2,'Calendar Year Employment'!J$7,'Historic Employment Monthly'!$B144:$SD144))</f>
        <v>866.5</v>
      </c>
      <c r="K17" s="442">
        <f>IF($A$7=$A$100, AVERAGEIF('Historic Employment Monthly'!$B$2:$SD$2,'Calendar Year Employment'!K$7,'Historic Employment Monthly'!$B56:$SD56),AVERAGEIF('Historic Employment Monthly'!$B$2:$SD$2,'Calendar Year Employment'!K$7,'Historic Employment Monthly'!$B144:$SD144))</f>
        <v>923.16666666666663</v>
      </c>
      <c r="L17" s="442">
        <f>IF($A$7=$A$100, AVERAGEIF('Historic Employment Monthly'!$B$2:$SD$2,'Calendar Year Employment'!L$7,'Historic Employment Monthly'!$B56:$SD56),AVERAGEIF('Historic Employment Monthly'!$B$2:$SD$2,'Calendar Year Employment'!L$7,'Historic Employment Monthly'!$B144:$SD144))</f>
        <v>1292.4166666666667</v>
      </c>
      <c r="M17" s="442">
        <f>IF($A$7=$A$100, AVERAGEIF('Historic Employment Monthly'!$B$2:$SD$2,'Calendar Year Employment'!M$7,'Historic Employment Monthly'!$B56:$SD56),AVERAGEIF('Historic Employment Monthly'!$B$2:$SD$2,'Calendar Year Employment'!M$7,'Historic Employment Monthly'!$B144:$SD144))</f>
        <v>1069.9166666666667</v>
      </c>
      <c r="N17" s="442">
        <f>IF($A$7=$A$100, AVERAGEIF('Historic Employment Monthly'!$B$2:$SD$2,'Calendar Year Employment'!N$7,'Historic Employment Monthly'!$B56:$SD56),AVERAGEIF('Historic Employment Monthly'!$B$2:$SD$2,'Calendar Year Employment'!N$7,'Historic Employment Monthly'!$B144:$SD144))</f>
        <v>1119.6666666666667</v>
      </c>
      <c r="O17" s="442">
        <f>IF($A$7=$A$100, AVERAGEIF('Historic Employment Monthly'!$B$2:$SD$2,'Calendar Year Employment'!O$7,'Historic Employment Monthly'!$B56:$SD56),AVERAGEIF('Historic Employment Monthly'!$B$2:$SD$2,'Calendar Year Employment'!O$7,'Historic Employment Monthly'!$B144:$SD144))</f>
        <v>1164.8333333333333</v>
      </c>
      <c r="P17" s="442">
        <f>IF($A$7=$A$100, AVERAGEIF('Historic Employment Monthly'!$B$2:$SD$2,'Calendar Year Employment'!P$7,'Historic Employment Monthly'!$B56:$SD56),AVERAGEIF('Historic Employment Monthly'!$B$2:$SD$2,'Calendar Year Employment'!P$7,'Historic Employment Monthly'!$B144:$SD144))</f>
        <v>1011.8333333333334</v>
      </c>
      <c r="Q17" s="442">
        <f>IF($A$7=$A$100, AVERAGEIF('Historic Employment Monthly'!$B$2:$SD$2,'Calendar Year Employment'!Q$7,'Historic Employment Monthly'!$B56:$SD56),AVERAGEIF('Historic Employment Monthly'!$B$2:$SD$2,'Calendar Year Employment'!Q$7,'Historic Employment Monthly'!$B144:$SD144))</f>
        <v>909.16666666666663</v>
      </c>
      <c r="R17" s="353">
        <f>IF($A$7=$A$100, AVERAGEIF('Historic Employment Monthly'!$B$2:$SD$2,'Calendar Year Employment'!R$7,'Historic Employment Monthly'!$B56:$SD56),AVERAGEIF('Historic Employment Monthly'!$B$2:$SD$2,'Calendar Year Employment'!R$7,'Historic Employment Monthly'!$B144:$SD144))</f>
        <v>794.08333333333337</v>
      </c>
      <c r="S17" s="229"/>
      <c r="T17" s="228"/>
      <c r="U17" s="229"/>
    </row>
    <row r="18" spans="1:21" s="184" customFormat="1">
      <c r="A18" s="159" t="s">
        <v>338</v>
      </c>
      <c r="B18" s="349"/>
      <c r="C18" s="348">
        <f>IF($A$7=$A$100, AVERAGEIF('Historic Employment Monthly'!$B$2:$SD$2,'Calendar Year Employment'!C$7,'Historic Employment Monthly'!$B57:$SD57),AVERAGEIF('Historic Employment Monthly'!$B$2:$SD$2,'Calendar Year Employment'!C$7,'Historic Employment Monthly'!$B145:$SD145))</f>
        <v>503.25</v>
      </c>
      <c r="D18" s="348">
        <f>IF($A$7=$A$100, AVERAGEIF('Historic Employment Monthly'!$B$2:$SD$2,'Calendar Year Employment'!D$7,'Historic Employment Monthly'!$B57:$SD57),AVERAGEIF('Historic Employment Monthly'!$B$2:$SD$2,'Calendar Year Employment'!D$7,'Historic Employment Monthly'!$B145:$SD145))</f>
        <v>508.16666666666669</v>
      </c>
      <c r="E18" s="348">
        <f>IF($A$7=$A$100, AVERAGEIF('Historic Employment Monthly'!$B$2:$SD$2,'Calendar Year Employment'!E$7,'Historic Employment Monthly'!$B57:$SD57),AVERAGEIF('Historic Employment Monthly'!$B$2:$SD$2,'Calendar Year Employment'!E$7,'Historic Employment Monthly'!$B145:$SD145))</f>
        <v>450.5</v>
      </c>
      <c r="F18" s="348">
        <f>IF($A$7=$A$100, AVERAGEIF('Historic Employment Monthly'!$B$2:$SD$2,'Calendar Year Employment'!F$7,'Historic Employment Monthly'!$B57:$SD57),AVERAGEIF('Historic Employment Monthly'!$B$2:$SD$2,'Calendar Year Employment'!F$7,'Historic Employment Monthly'!$B145:$SD145))</f>
        <v>483.08333333333331</v>
      </c>
      <c r="G18" s="348">
        <f>IF($A$7=$A$100, AVERAGEIF('Historic Employment Monthly'!$B$2:$SD$2,'Calendar Year Employment'!G$7,'Historic Employment Monthly'!$B57:$SD57),AVERAGEIF('Historic Employment Monthly'!$B$2:$SD$2,'Calendar Year Employment'!G$7,'Historic Employment Monthly'!$B145:$SD145))</f>
        <v>572</v>
      </c>
      <c r="H18" s="348">
        <f>IF($A$7=$A$100, AVERAGEIF('Historic Employment Monthly'!$B$2:$SD$2,'Calendar Year Employment'!H$7,'Historic Employment Monthly'!$B57:$SD57),AVERAGEIF('Historic Employment Monthly'!$B$2:$SD$2,'Calendar Year Employment'!H$7,'Historic Employment Monthly'!$B145:$SD145))</f>
        <v>465</v>
      </c>
      <c r="I18" s="441">
        <f>IF($A$7=$A$100, AVERAGEIF('Historic Employment Monthly'!$B$2:$SD$2,'Calendar Year Employment'!I$7,'Historic Employment Monthly'!$B57:$SD57),AVERAGEIF('Historic Employment Monthly'!$B$2:$SD$2,'Calendar Year Employment'!I$7,'Historic Employment Monthly'!$B145:$SD145))</f>
        <v>430.83333333333331</v>
      </c>
      <c r="J18" s="441">
        <f>IF($A$7=$A$100, AVERAGEIF('Historic Employment Monthly'!$B$2:$SD$2,'Calendar Year Employment'!J$7,'Historic Employment Monthly'!$B57:$SD57),AVERAGEIF('Historic Employment Monthly'!$B$2:$SD$2,'Calendar Year Employment'!J$7,'Historic Employment Monthly'!$B145:$SD145))</f>
        <v>464.5</v>
      </c>
      <c r="K18" s="441">
        <f>IF($A$7=$A$100, AVERAGEIF('Historic Employment Monthly'!$B$2:$SD$2,'Calendar Year Employment'!K$7,'Historic Employment Monthly'!$B57:$SD57),AVERAGEIF('Historic Employment Monthly'!$B$2:$SD$2,'Calendar Year Employment'!K$7,'Historic Employment Monthly'!$B145:$SD145))</f>
        <v>265.25</v>
      </c>
      <c r="L18" s="441">
        <f>IF($A$7=$A$100, AVERAGEIF('Historic Employment Monthly'!$B$2:$SD$2,'Calendar Year Employment'!L$7,'Historic Employment Monthly'!$B57:$SD57),AVERAGEIF('Historic Employment Monthly'!$B$2:$SD$2,'Calendar Year Employment'!L$7,'Historic Employment Monthly'!$B145:$SD145))</f>
        <v>463</v>
      </c>
      <c r="M18" s="441">
        <f>IF($A$7=$A$100, AVERAGEIF('Historic Employment Monthly'!$B$2:$SD$2,'Calendar Year Employment'!M$7,'Historic Employment Monthly'!$B57:$SD57),AVERAGEIF('Historic Employment Monthly'!$B$2:$SD$2,'Calendar Year Employment'!M$7,'Historic Employment Monthly'!$B145:$SD145))</f>
        <v>607.91666666666663</v>
      </c>
      <c r="N18" s="441">
        <f>IF($A$7=$A$100, AVERAGEIF('Historic Employment Monthly'!$B$2:$SD$2,'Calendar Year Employment'!N$7,'Historic Employment Monthly'!$B57:$SD57),AVERAGEIF('Historic Employment Monthly'!$B$2:$SD$2,'Calendar Year Employment'!N$7,'Historic Employment Monthly'!$B145:$SD145))</f>
        <v>573.25</v>
      </c>
      <c r="O18" s="441">
        <f>IF($A$7=$A$100, AVERAGEIF('Historic Employment Monthly'!$B$2:$SD$2,'Calendar Year Employment'!O$7,'Historic Employment Monthly'!$B57:$SD57),AVERAGEIF('Historic Employment Monthly'!$B$2:$SD$2,'Calendar Year Employment'!O$7,'Historic Employment Monthly'!$B145:$SD145))</f>
        <v>389.41666666666669</v>
      </c>
      <c r="P18" s="441">
        <f>IF($A$7=$A$100, AVERAGEIF('Historic Employment Monthly'!$B$2:$SD$2,'Calendar Year Employment'!P$7,'Historic Employment Monthly'!$B57:$SD57),AVERAGEIF('Historic Employment Monthly'!$B$2:$SD$2,'Calendar Year Employment'!P$7,'Historic Employment Monthly'!$B145:$SD145))</f>
        <v>454.91666666666669</v>
      </c>
      <c r="Q18" s="441">
        <f>IF($A$7=$A$100, AVERAGEIF('Historic Employment Monthly'!$B$2:$SD$2,'Calendar Year Employment'!Q$7,'Historic Employment Monthly'!$B57:$SD57),AVERAGEIF('Historic Employment Monthly'!$B$2:$SD$2,'Calendar Year Employment'!Q$7,'Historic Employment Monthly'!$B145:$SD145))</f>
        <v>667.83333333333337</v>
      </c>
      <c r="R18" s="352">
        <f>IF($A$7=$A$100, AVERAGEIF('Historic Employment Monthly'!$B$2:$SD$2,'Calendar Year Employment'!R$7,'Historic Employment Monthly'!$B57:$SD57),AVERAGEIF('Historic Employment Monthly'!$B$2:$SD$2,'Calendar Year Employment'!R$7,'Historic Employment Monthly'!$B145:$SD145))</f>
        <v>888.25</v>
      </c>
      <c r="S18" s="229"/>
      <c r="T18" s="228"/>
      <c r="U18" s="229"/>
    </row>
    <row r="19" spans="1:21" s="184" customFormat="1">
      <c r="A19" s="159" t="s">
        <v>103</v>
      </c>
      <c r="B19" s="350"/>
      <c r="C19" s="442">
        <f>IF($A$7=$A$100, AVERAGEIF('Historic Employment Monthly'!$B$2:$SD$2,'Calendar Year Employment'!C$7,'Historic Employment Monthly'!$B58:$SD58),AVERAGEIF('Historic Employment Monthly'!$B$2:$SD$2,'Calendar Year Employment'!C$7,'Historic Employment Monthly'!$B146:$SD146))</f>
        <v>1511.0833333333333</v>
      </c>
      <c r="D19" s="442">
        <f>IF($A$7=$A$100, AVERAGEIF('Historic Employment Monthly'!$B$2:$SD$2,'Calendar Year Employment'!D$7,'Historic Employment Monthly'!$B58:$SD58),AVERAGEIF('Historic Employment Monthly'!$B$2:$SD$2,'Calendar Year Employment'!D$7,'Historic Employment Monthly'!$B146:$SD146))</f>
        <v>1555.5</v>
      </c>
      <c r="E19" s="442">
        <f>IF($A$7=$A$100, AVERAGEIF('Historic Employment Monthly'!$B$2:$SD$2,'Calendar Year Employment'!E$7,'Historic Employment Monthly'!$B58:$SD58),AVERAGEIF('Historic Employment Monthly'!$B$2:$SD$2,'Calendar Year Employment'!E$7,'Historic Employment Monthly'!$B146:$SD146))</f>
        <v>1560.5</v>
      </c>
      <c r="F19" s="442">
        <f>IF($A$7=$A$100, AVERAGEIF('Historic Employment Monthly'!$B$2:$SD$2,'Calendar Year Employment'!F$7,'Historic Employment Monthly'!$B58:$SD58),AVERAGEIF('Historic Employment Monthly'!$B$2:$SD$2,'Calendar Year Employment'!F$7,'Historic Employment Monthly'!$B146:$SD146))</f>
        <v>1759.1666666666667</v>
      </c>
      <c r="G19" s="442">
        <f>IF($A$7=$A$100, AVERAGEIF('Historic Employment Monthly'!$B$2:$SD$2,'Calendar Year Employment'!G$7,'Historic Employment Monthly'!$B58:$SD58),AVERAGEIF('Historic Employment Monthly'!$B$2:$SD$2,'Calendar Year Employment'!G$7,'Historic Employment Monthly'!$B146:$SD146))</f>
        <v>1850.0833333333333</v>
      </c>
      <c r="H19" s="442">
        <f>IF($A$7=$A$100, AVERAGEIF('Historic Employment Monthly'!$B$2:$SD$2,'Calendar Year Employment'!H$7,'Historic Employment Monthly'!$B58:$SD58),AVERAGEIF('Historic Employment Monthly'!$B$2:$SD$2,'Calendar Year Employment'!H$7,'Historic Employment Monthly'!$B146:$SD146))</f>
        <v>1701.6666666666667</v>
      </c>
      <c r="I19" s="442">
        <f>IF($A$7=$A$100, AVERAGEIF('Historic Employment Monthly'!$B$2:$SD$2,'Calendar Year Employment'!I$7,'Historic Employment Monthly'!$B58:$SD58),AVERAGEIF('Historic Employment Monthly'!$B$2:$SD$2,'Calendar Year Employment'!I$7,'Historic Employment Monthly'!$B146:$SD146))</f>
        <v>1777.0833333333333</v>
      </c>
      <c r="J19" s="442">
        <f>IF($A$7=$A$100, AVERAGEIF('Historic Employment Monthly'!$B$2:$SD$2,'Calendar Year Employment'!J$7,'Historic Employment Monthly'!$B58:$SD58),AVERAGEIF('Historic Employment Monthly'!$B$2:$SD$2,'Calendar Year Employment'!J$7,'Historic Employment Monthly'!$B146:$SD146))</f>
        <v>2262.25</v>
      </c>
      <c r="K19" s="442">
        <f>IF($A$7=$A$100, AVERAGEIF('Historic Employment Monthly'!$B$2:$SD$2,'Calendar Year Employment'!K$7,'Historic Employment Monthly'!$B58:$SD58),AVERAGEIF('Historic Employment Monthly'!$B$2:$SD$2,'Calendar Year Employment'!K$7,'Historic Employment Monthly'!$B146:$SD146))</f>
        <v>2373.25</v>
      </c>
      <c r="L19" s="442">
        <f>IF($A$7=$A$100, AVERAGEIF('Historic Employment Monthly'!$B$2:$SD$2,'Calendar Year Employment'!L$7,'Historic Employment Monthly'!$B58:$SD58),AVERAGEIF('Historic Employment Monthly'!$B$2:$SD$2,'Calendar Year Employment'!L$7,'Historic Employment Monthly'!$B146:$SD146))</f>
        <v>2864</v>
      </c>
      <c r="M19" s="442">
        <f>IF($A$7=$A$100, AVERAGEIF('Historic Employment Monthly'!$B$2:$SD$2,'Calendar Year Employment'!M$7,'Historic Employment Monthly'!$B58:$SD58),AVERAGEIF('Historic Employment Monthly'!$B$2:$SD$2,'Calendar Year Employment'!M$7,'Historic Employment Monthly'!$B146:$SD146))</f>
        <v>3839.3333333333335</v>
      </c>
      <c r="N19" s="442">
        <f>IF($A$7=$A$100, AVERAGEIF('Historic Employment Monthly'!$B$2:$SD$2,'Calendar Year Employment'!N$7,'Historic Employment Monthly'!$B58:$SD58),AVERAGEIF('Historic Employment Monthly'!$B$2:$SD$2,'Calendar Year Employment'!N$7,'Historic Employment Monthly'!$B146:$SD146))</f>
        <v>3568.5833333333335</v>
      </c>
      <c r="O19" s="442">
        <f>IF($A$7=$A$100, AVERAGEIF('Historic Employment Monthly'!$B$2:$SD$2,'Calendar Year Employment'!O$7,'Historic Employment Monthly'!$B58:$SD58),AVERAGEIF('Historic Employment Monthly'!$B$2:$SD$2,'Calendar Year Employment'!O$7,'Historic Employment Monthly'!$B146:$SD146))</f>
        <v>3621.75</v>
      </c>
      <c r="P19" s="442">
        <f>IF($A$7=$A$100, AVERAGEIF('Historic Employment Monthly'!$B$2:$SD$2,'Calendar Year Employment'!P$7,'Historic Employment Monthly'!$B58:$SD58),AVERAGEIF('Historic Employment Monthly'!$B$2:$SD$2,'Calendar Year Employment'!P$7,'Historic Employment Monthly'!$B146:$SD146))</f>
        <v>3467.5833333333335</v>
      </c>
      <c r="Q19" s="442">
        <f>IF($A$7=$A$100, AVERAGEIF('Historic Employment Monthly'!$B$2:$SD$2,'Calendar Year Employment'!Q$7,'Historic Employment Monthly'!$B58:$SD58),AVERAGEIF('Historic Employment Monthly'!$B$2:$SD$2,'Calendar Year Employment'!Q$7,'Historic Employment Monthly'!$B146:$SD146))</f>
        <v>3014.6666666666665</v>
      </c>
      <c r="R19" s="353">
        <f>IF($A$7=$A$100, AVERAGEIF('Historic Employment Monthly'!$B$2:$SD$2,'Calendar Year Employment'!R$7,'Historic Employment Monthly'!$B58:$SD58),AVERAGEIF('Historic Employment Monthly'!$B$2:$SD$2,'Calendar Year Employment'!R$7,'Historic Employment Monthly'!$B146:$SD146))</f>
        <v>2592.5</v>
      </c>
      <c r="S19" s="229"/>
      <c r="T19" s="228"/>
      <c r="U19" s="229"/>
    </row>
    <row r="20" spans="1:21" s="184" customFormat="1" ht="15.75" thickBot="1">
      <c r="A20" s="160" t="s">
        <v>322</v>
      </c>
      <c r="B20" s="346"/>
      <c r="C20" s="345">
        <f>IF($A$7=$A$100, AVERAGEIF('Historic Employment Monthly'!$B$2:$SD$2,'Calendar Year Employment'!C$7,'Historic Employment Monthly'!$B93:$SD93),AVERAGEIF('Historic Employment Monthly'!$B$2:$SD$2,'Calendar Year Employment'!C$7,'Historic Employment Monthly'!$B180:$SD180))</f>
        <v>640.33333333333337</v>
      </c>
      <c r="D20" s="345">
        <f>IF($A$7=$A$100, AVERAGEIF('Historic Employment Monthly'!$B$2:$SD$2,'Calendar Year Employment'!D$7,'Historic Employment Monthly'!$B93:$SD93),AVERAGEIF('Historic Employment Monthly'!$B$2:$SD$2,'Calendar Year Employment'!D$7,'Historic Employment Monthly'!$B180:$SD180))</f>
        <v>524.33333333333337</v>
      </c>
      <c r="E20" s="345">
        <f>IF($A$7=$A$100, AVERAGEIF('Historic Employment Monthly'!$B$2:$SD$2,'Calendar Year Employment'!E$7,'Historic Employment Monthly'!$B93:$SD93),AVERAGEIF('Historic Employment Monthly'!$B$2:$SD$2,'Calendar Year Employment'!E$7,'Historic Employment Monthly'!$B180:$SD180))</f>
        <v>535.25</v>
      </c>
      <c r="F20" s="345">
        <f>IF($A$7=$A$100, AVERAGEIF('Historic Employment Monthly'!$B$2:$SD$2,'Calendar Year Employment'!F$7,'Historic Employment Monthly'!$B93:$SD93),AVERAGEIF('Historic Employment Monthly'!$B$2:$SD$2,'Calendar Year Employment'!F$7,'Historic Employment Monthly'!$B180:$SD180))</f>
        <v>643.33333333333337</v>
      </c>
      <c r="G20" s="345">
        <f>IF($A$7=$A$100, AVERAGEIF('Historic Employment Monthly'!$B$2:$SD$2,'Calendar Year Employment'!G$7,'Historic Employment Monthly'!$B93:$SD93),AVERAGEIF('Historic Employment Monthly'!$B$2:$SD$2,'Calendar Year Employment'!G$7,'Historic Employment Monthly'!$B180:$SD180))</f>
        <v>734.66666666666663</v>
      </c>
      <c r="H20" s="345">
        <f>IF($A$7=$A$100, AVERAGEIF('Historic Employment Monthly'!$B$2:$SD$2,'Calendar Year Employment'!H$7,'Historic Employment Monthly'!$B93:$SD93),AVERAGEIF('Historic Employment Monthly'!$B$2:$SD$2,'Calendar Year Employment'!H$7,'Historic Employment Monthly'!$B180:$SD180))</f>
        <v>917.5</v>
      </c>
      <c r="I20" s="345">
        <f>IF($A$7=$A$100, AVERAGEIF('Historic Employment Monthly'!$B$2:$SD$2,'Calendar Year Employment'!I$7,'Historic Employment Monthly'!$B93:$SD93),AVERAGEIF('Historic Employment Monthly'!$B$2:$SD$2,'Calendar Year Employment'!I$7,'Historic Employment Monthly'!$B180:$SD180))</f>
        <v>1470.8333333333333</v>
      </c>
      <c r="J20" s="345">
        <f>IF($A$7=$A$100, AVERAGEIF('Historic Employment Monthly'!$B$2:$SD$2,'Calendar Year Employment'!J$7,'Historic Employment Monthly'!$B93:$SD93),AVERAGEIF('Historic Employment Monthly'!$B$2:$SD$2,'Calendar Year Employment'!J$7,'Historic Employment Monthly'!$B180:$SD180))</f>
        <v>2295.9166666666665</v>
      </c>
      <c r="K20" s="345">
        <f>IF($A$7=$A$100, AVERAGEIF('Historic Employment Monthly'!$B$2:$SD$2,'Calendar Year Employment'!K$7,'Historic Employment Monthly'!$B93:$SD93),AVERAGEIF('Historic Employment Monthly'!$B$2:$SD$2,'Calendar Year Employment'!K$7,'Historic Employment Monthly'!$B180:$SD180))</f>
        <v>2354.5</v>
      </c>
      <c r="L20" s="345">
        <f>IF($A$7=$A$100, AVERAGEIF('Historic Employment Monthly'!$B$2:$SD$2,'Calendar Year Employment'!L$7,'Historic Employment Monthly'!$B93:$SD93),AVERAGEIF('Historic Employment Monthly'!$B$2:$SD$2,'Calendar Year Employment'!L$7,'Historic Employment Monthly'!$B180:$SD180))</f>
        <v>3226.8333333333335</v>
      </c>
      <c r="M20" s="345">
        <f>IF($A$7=$A$100, AVERAGEIF('Historic Employment Monthly'!$B$2:$SD$2,'Calendar Year Employment'!M$7,'Historic Employment Monthly'!$B93:$SD93),AVERAGEIF('Historic Employment Monthly'!$B$2:$SD$2,'Calendar Year Employment'!M$7,'Historic Employment Monthly'!$B180:$SD180))</f>
        <v>3522.8333333333335</v>
      </c>
      <c r="N20" s="345">
        <f>IF($A$7=$A$100, AVERAGEIF('Historic Employment Monthly'!$B$2:$SD$2,'Calendar Year Employment'!N$7,'Historic Employment Monthly'!$B93:$SD93),AVERAGEIF('Historic Employment Monthly'!$B$2:$SD$2,'Calendar Year Employment'!N$7,'Historic Employment Monthly'!$B180:$SD180))</f>
        <v>3239.4166666666665</v>
      </c>
      <c r="O20" s="345">
        <f>IF($A$7=$A$100, AVERAGEIF('Historic Employment Monthly'!$B$2:$SD$2,'Calendar Year Employment'!O$7,'Historic Employment Monthly'!$B93:$SD93),AVERAGEIF('Historic Employment Monthly'!$B$2:$SD$2,'Calendar Year Employment'!O$7,'Historic Employment Monthly'!$B180:$SD180))</f>
        <v>2317.8333333333335</v>
      </c>
      <c r="P20" s="345">
        <f>IF($A$7=$A$100, AVERAGEIF('Historic Employment Monthly'!$B$2:$SD$2,'Calendar Year Employment'!P$7,'Historic Employment Monthly'!$B93:$SD93),AVERAGEIF('Historic Employment Monthly'!$B$2:$SD$2,'Calendar Year Employment'!P$7,'Historic Employment Monthly'!$B180:$SD180))</f>
        <v>2240.75</v>
      </c>
      <c r="Q20" s="345">
        <f>IF($A$7=$A$100, AVERAGEIF('Historic Employment Monthly'!$B$2:$SD$2,'Calendar Year Employment'!Q$7,'Historic Employment Monthly'!$B93:$SD93),AVERAGEIF('Historic Employment Monthly'!$B$2:$SD$2,'Calendar Year Employment'!Q$7,'Historic Employment Monthly'!$B180:$SD180))</f>
        <v>2255</v>
      </c>
      <c r="R20" s="25">
        <f>IF($A$7=$A$100, AVERAGEIF('Historic Employment Monthly'!$B$2:$SD$2,'Calendar Year Employment'!R$7,'Historic Employment Monthly'!$B93:$SD93),AVERAGEIF('Historic Employment Monthly'!$B$2:$SD$2,'Calendar Year Employment'!R$7,'Historic Employment Monthly'!$B180:$SD180))</f>
        <v>2138.6666666666665</v>
      </c>
      <c r="S20" s="229"/>
      <c r="T20" s="228"/>
      <c r="U20" s="229"/>
    </row>
    <row r="21" spans="1:21" s="184" customFormat="1" ht="16.5" thickTop="1" thickBot="1">
      <c r="A21" s="162" t="s">
        <v>621</v>
      </c>
      <c r="B21" s="436"/>
      <c r="C21" s="436">
        <f t="shared" ref="C21:P21" si="2">SUM(C8:C20)</f>
        <v>41757.333333333336</v>
      </c>
      <c r="D21" s="436">
        <f t="shared" si="2"/>
        <v>41912.000000000007</v>
      </c>
      <c r="E21" s="436">
        <f t="shared" si="2"/>
        <v>44762.916666666664</v>
      </c>
      <c r="F21" s="436">
        <f t="shared" si="2"/>
        <v>48630</v>
      </c>
      <c r="G21" s="436">
        <f t="shared" si="2"/>
        <v>55127.416666666672</v>
      </c>
      <c r="H21" s="436">
        <f t="shared" si="2"/>
        <v>59125.250000000007</v>
      </c>
      <c r="I21" s="436">
        <f t="shared" si="2"/>
        <v>65366.166666666672</v>
      </c>
      <c r="J21" s="436">
        <f t="shared" si="2"/>
        <v>72294</v>
      </c>
      <c r="K21" s="436">
        <f t="shared" si="2"/>
        <v>69835.083333333328</v>
      </c>
      <c r="L21" s="436">
        <f t="shared" si="2"/>
        <v>78027.166666666657</v>
      </c>
      <c r="M21" s="436">
        <f t="shared" si="2"/>
        <v>92042.166666666657</v>
      </c>
      <c r="N21" s="436">
        <f t="shared" si="2"/>
        <v>106183.00000000001</v>
      </c>
      <c r="O21" s="436">
        <f t="shared" si="2"/>
        <v>111293.16666666666</v>
      </c>
      <c r="P21" s="436">
        <f t="shared" si="2"/>
        <v>109560.91666666666</v>
      </c>
      <c r="Q21" s="436">
        <f>SUM(Q8:Q20)</f>
        <v>105285.5</v>
      </c>
      <c r="R21" s="437">
        <f>SUM(R8:R20)</f>
        <v>104803.08333333333</v>
      </c>
    </row>
    <row r="22" spans="1:21">
      <c r="A22" s="149"/>
      <c r="B22" s="149"/>
      <c r="C22" s="150"/>
      <c r="P22" s="354"/>
    </row>
    <row r="49" spans="17:21" ht="15.75" thickBot="1"/>
    <row r="50" spans="17:21" ht="15.75" thickBot="1">
      <c r="Q50" s="7" t="s">
        <v>187</v>
      </c>
      <c r="R50" s="23"/>
      <c r="S50" s="23"/>
      <c r="T50" s="23"/>
      <c r="U50" s="4"/>
    </row>
    <row r="51" spans="17:21" ht="15.75" thickBot="1">
      <c r="Q51" s="22" t="s">
        <v>621</v>
      </c>
      <c r="R51" s="10"/>
      <c r="S51" s="10"/>
      <c r="T51" s="10"/>
      <c r="U51" s="3"/>
    </row>
    <row r="52" spans="17:21" ht="3" customHeight="1"/>
    <row r="53" spans="17:21">
      <c r="Q53" s="674" t="s">
        <v>188</v>
      </c>
      <c r="R53" s="674"/>
      <c r="S53" s="674"/>
      <c r="T53" s="674"/>
      <c r="U53" s="674"/>
    </row>
    <row r="100" spans="1:2">
      <c r="A100" s="356" t="s">
        <v>323</v>
      </c>
    </row>
    <row r="101" spans="1:2">
      <c r="A101" s="356" t="s">
        <v>324</v>
      </c>
    </row>
    <row r="102" spans="1:2">
      <c r="B102" s="356"/>
    </row>
    <row r="103" spans="1:2">
      <c r="B103" s="356"/>
    </row>
  </sheetData>
  <mergeCells count="3">
    <mergeCell ref="Q50:U50"/>
    <mergeCell ref="Q51:U51"/>
    <mergeCell ref="Q53:U53"/>
  </mergeCells>
  <dataValidations count="3">
    <dataValidation type="list" allowBlank="1" showInputMessage="1" showErrorMessage="1" promptTitle="Select a Commodity" prompt="Select a Commodity for graphical display, or total employment." sqref="Q51:U51">
      <formula1>$A$8:$A$21</formula1>
    </dataValidation>
    <dataValidation type="list" allowBlank="1" showInputMessage="1" showErrorMessage="1" sqref="B7">
      <formula1>$A$100:$A$101</formula1>
    </dataValidation>
    <dataValidation type="list" allowBlank="1" showInputMessage="1" showErrorMessage="1" promptTitle="Click to Select" prompt="Click to Select between Number of Individuals employed (NoI) of Full Time Equivalent employees (FTE)" sqref="A7">
      <formula1>$A$100:$A$101</formula1>
    </dataValidation>
  </dataValidation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3"/>
  <sheetViews>
    <sheetView zoomScaleNormal="100" workbookViewId="0">
      <pane xSplit="2" topLeftCell="C1" activePane="topRight" state="frozen"/>
      <selection activeCell="O30" sqref="O30"/>
      <selection pane="topRight" activeCell="C1" sqref="C1"/>
    </sheetView>
  </sheetViews>
  <sheetFormatPr defaultRowHeight="15"/>
  <cols>
    <col min="1" max="1" width="59.7109375" style="428" bestFit="1" customWidth="1"/>
    <col min="2" max="2" width="3.28515625" style="428" customWidth="1"/>
    <col min="3" max="12" width="10.28515625" style="428" bestFit="1" customWidth="1"/>
    <col min="13" max="13" width="11.28515625" style="428" bestFit="1" customWidth="1"/>
    <col min="14" max="15" width="9.140625" style="428"/>
    <col min="16" max="16" width="10.140625" style="428" bestFit="1" customWidth="1"/>
    <col min="17" max="17" width="10.140625" style="428" customWidth="1"/>
    <col min="18" max="18" width="11.28515625" style="428" customWidth="1"/>
    <col min="19" max="19" width="12.140625" style="428" customWidth="1"/>
    <col min="20" max="21" width="11.28515625" style="428" customWidth="1"/>
    <col min="22" max="16384" width="9.140625" style="428"/>
  </cols>
  <sheetData>
    <row r="1" spans="1:71">
      <c r="C1" s="343">
        <f t="shared" ref="C1:BN1" ca="1" si="0">INDIRECT(ADDRESS(MATCH($Q$51,$A$1:$A$21,0),COLUMN(C$2)))</f>
        <v>40969.333333333328</v>
      </c>
      <c r="D1" s="343">
        <f t="shared" ca="1" si="0"/>
        <v>42941.666666666664</v>
      </c>
      <c r="E1" s="343">
        <f t="shared" ca="1" si="0"/>
        <v>45817.583333333328</v>
      </c>
      <c r="F1" s="343">
        <f t="shared" ca="1" si="0"/>
        <v>51057.416666666672</v>
      </c>
      <c r="G1" s="343">
        <f t="shared" ca="1" si="0"/>
        <v>56378.416666666672</v>
      </c>
      <c r="H1" s="343">
        <f t="shared" ca="1" si="0"/>
        <v>60949.083333333328</v>
      </c>
      <c r="I1" s="343">
        <f t="shared" ca="1" si="0"/>
        <v>66085.583333333328</v>
      </c>
      <c r="J1" s="343">
        <f t="shared" ca="1" si="0"/>
        <v>70564.833333333343</v>
      </c>
      <c r="K1" s="343">
        <f t="shared" ca="1" si="0"/>
        <v>68778.916666666672</v>
      </c>
      <c r="L1" s="343">
        <f t="shared" ca="1" si="0"/>
        <v>81950.083333333343</v>
      </c>
      <c r="M1" s="343">
        <f t="shared" ca="1" si="0"/>
        <v>96931.083333333343</v>
      </c>
      <c r="N1" s="343">
        <f t="shared" ca="1" si="0"/>
        <v>106314.5</v>
      </c>
      <c r="O1" s="343">
        <f t="shared" ca="1" si="0"/>
        <v>107871</v>
      </c>
      <c r="P1" s="343">
        <f t="shared" ca="1" si="0"/>
        <v>105513.75</v>
      </c>
      <c r="Q1" s="343">
        <f t="shared" ca="1" si="0"/>
        <v>102356.83333333334</v>
      </c>
      <c r="R1" s="343">
        <f t="shared" ca="1" si="0"/>
        <v>0</v>
      </c>
      <c r="S1" s="343">
        <f t="shared" ca="1" si="0"/>
        <v>0</v>
      </c>
      <c r="T1" s="343">
        <f t="shared" ca="1" si="0"/>
        <v>0</v>
      </c>
      <c r="U1" s="343">
        <f t="shared" ca="1" si="0"/>
        <v>0</v>
      </c>
      <c r="V1" s="343">
        <f t="shared" ca="1" si="0"/>
        <v>0</v>
      </c>
      <c r="W1" s="343">
        <f t="shared" ca="1" si="0"/>
        <v>0</v>
      </c>
      <c r="X1" s="343">
        <f t="shared" ca="1" si="0"/>
        <v>0</v>
      </c>
      <c r="Y1" s="343">
        <f t="shared" ca="1" si="0"/>
        <v>0</v>
      </c>
      <c r="Z1" s="343">
        <f t="shared" ca="1" si="0"/>
        <v>0</v>
      </c>
      <c r="AA1" s="343">
        <f t="shared" ca="1" si="0"/>
        <v>0</v>
      </c>
      <c r="AB1" s="343">
        <f t="shared" ca="1" si="0"/>
        <v>0</v>
      </c>
      <c r="AC1" s="343">
        <f t="shared" ca="1" si="0"/>
        <v>0</v>
      </c>
      <c r="AD1" s="343">
        <f t="shared" ca="1" si="0"/>
        <v>0</v>
      </c>
      <c r="AE1" s="343">
        <f t="shared" ca="1" si="0"/>
        <v>0</v>
      </c>
      <c r="AF1" s="343">
        <f t="shared" ca="1" si="0"/>
        <v>0</v>
      </c>
      <c r="AG1" s="343">
        <f t="shared" ca="1" si="0"/>
        <v>0</v>
      </c>
      <c r="AH1" s="343">
        <f t="shared" ca="1" si="0"/>
        <v>0</v>
      </c>
      <c r="AI1" s="343">
        <f t="shared" ca="1" si="0"/>
        <v>0</v>
      </c>
      <c r="AJ1" s="343">
        <f t="shared" ca="1" si="0"/>
        <v>0</v>
      </c>
      <c r="AK1" s="343">
        <f t="shared" ca="1" si="0"/>
        <v>0</v>
      </c>
      <c r="AL1" s="343">
        <f t="shared" ca="1" si="0"/>
        <v>0</v>
      </c>
      <c r="AM1" s="343">
        <f t="shared" ca="1" si="0"/>
        <v>0</v>
      </c>
      <c r="AN1" s="343">
        <f t="shared" ca="1" si="0"/>
        <v>0</v>
      </c>
      <c r="AO1" s="343">
        <f t="shared" ca="1" si="0"/>
        <v>0</v>
      </c>
      <c r="AP1" s="343">
        <f t="shared" ca="1" si="0"/>
        <v>0</v>
      </c>
      <c r="AQ1" s="343">
        <f t="shared" ca="1" si="0"/>
        <v>0</v>
      </c>
      <c r="AR1" s="343">
        <f t="shared" ca="1" si="0"/>
        <v>0</v>
      </c>
      <c r="AS1" s="343">
        <f t="shared" ca="1" si="0"/>
        <v>0</v>
      </c>
      <c r="AT1" s="343">
        <f t="shared" ca="1" si="0"/>
        <v>0</v>
      </c>
      <c r="AU1" s="343">
        <f t="shared" ca="1" si="0"/>
        <v>0</v>
      </c>
      <c r="AV1" s="343">
        <f t="shared" ca="1" si="0"/>
        <v>0</v>
      </c>
      <c r="AW1" s="343">
        <f t="shared" ca="1" si="0"/>
        <v>0</v>
      </c>
      <c r="AX1" s="343">
        <f t="shared" ca="1" si="0"/>
        <v>0</v>
      </c>
      <c r="AY1" s="343">
        <f t="shared" ca="1" si="0"/>
        <v>0</v>
      </c>
      <c r="AZ1" s="343">
        <f t="shared" ca="1" si="0"/>
        <v>0</v>
      </c>
      <c r="BA1" s="343">
        <f t="shared" ca="1" si="0"/>
        <v>0</v>
      </c>
      <c r="BB1" s="343">
        <f t="shared" ca="1" si="0"/>
        <v>0</v>
      </c>
      <c r="BC1" s="343">
        <f t="shared" ca="1" si="0"/>
        <v>0</v>
      </c>
      <c r="BD1" s="343">
        <f t="shared" ca="1" si="0"/>
        <v>0</v>
      </c>
      <c r="BE1" s="343">
        <f t="shared" ca="1" si="0"/>
        <v>0</v>
      </c>
      <c r="BF1" s="343">
        <f t="shared" ca="1" si="0"/>
        <v>0</v>
      </c>
      <c r="BG1" s="343">
        <f t="shared" ca="1" si="0"/>
        <v>0</v>
      </c>
      <c r="BH1" s="343">
        <f t="shared" ca="1" si="0"/>
        <v>0</v>
      </c>
      <c r="BI1" s="343">
        <f t="shared" ca="1" si="0"/>
        <v>0</v>
      </c>
      <c r="BJ1" s="343">
        <f t="shared" ca="1" si="0"/>
        <v>0</v>
      </c>
      <c r="BK1" s="343">
        <f t="shared" ca="1" si="0"/>
        <v>0</v>
      </c>
      <c r="BL1" s="343">
        <f t="shared" ca="1" si="0"/>
        <v>0</v>
      </c>
      <c r="BM1" s="343">
        <f t="shared" ca="1" si="0"/>
        <v>0</v>
      </c>
      <c r="BN1" s="343">
        <f t="shared" ca="1" si="0"/>
        <v>0</v>
      </c>
      <c r="BO1" s="343">
        <f t="shared" ref="BO1:BS1" ca="1" si="1">INDIRECT(ADDRESS(MATCH($Q$51,$A$1:$A$21,0),COLUMN(BO$2)))</f>
        <v>0</v>
      </c>
      <c r="BP1" s="343">
        <f t="shared" ca="1" si="1"/>
        <v>0</v>
      </c>
      <c r="BQ1" s="343">
        <f t="shared" ca="1" si="1"/>
        <v>0</v>
      </c>
      <c r="BR1" s="343">
        <f t="shared" ca="1" si="1"/>
        <v>0</v>
      </c>
      <c r="BS1" s="343">
        <f t="shared" ca="1" si="1"/>
        <v>0</v>
      </c>
    </row>
    <row r="5" spans="1:71" s="184" customFormat="1">
      <c r="A5" s="502" t="s">
        <v>607</v>
      </c>
      <c r="B5" s="502"/>
    </row>
    <row r="6" spans="1:71" s="184" customFormat="1" ht="15.75" thickBot="1">
      <c r="A6" s="502" t="s">
        <v>177</v>
      </c>
      <c r="B6" s="502"/>
    </row>
    <row r="7" spans="1:71" s="184" customFormat="1" ht="15.75" thickBot="1">
      <c r="A7" s="362" t="s">
        <v>324</v>
      </c>
      <c r="B7" s="157"/>
      <c r="C7" s="157" t="s">
        <v>218</v>
      </c>
      <c r="D7" s="157" t="s">
        <v>219</v>
      </c>
      <c r="E7" s="157" t="s">
        <v>220</v>
      </c>
      <c r="F7" s="157" t="s">
        <v>221</v>
      </c>
      <c r="G7" s="157" t="s">
        <v>222</v>
      </c>
      <c r="H7" s="157" t="s">
        <v>223</v>
      </c>
      <c r="I7" s="157" t="s">
        <v>224</v>
      </c>
      <c r="J7" s="157" t="s">
        <v>225</v>
      </c>
      <c r="K7" s="157" t="s">
        <v>226</v>
      </c>
      <c r="L7" s="157" t="s">
        <v>227</v>
      </c>
      <c r="M7" s="157" t="s">
        <v>228</v>
      </c>
      <c r="N7" s="157" t="s">
        <v>229</v>
      </c>
      <c r="O7" s="157" t="s">
        <v>230</v>
      </c>
      <c r="P7" s="157" t="s">
        <v>231</v>
      </c>
      <c r="Q7" s="157" t="s">
        <v>353</v>
      </c>
    </row>
    <row r="8" spans="1:71" s="184" customFormat="1">
      <c r="A8" s="159" t="s">
        <v>179</v>
      </c>
      <c r="B8" s="349"/>
      <c r="C8" s="441">
        <f>IF($A$7=$A$100,(SUMIFS('Historic Employment Monthly'!$B65:$BS65,'Historic Employment Monthly'!$B$79:$BS$79,2,'Historic Employment Monthly'!$B$80:$BS$80,VALUE(LEFT('Financial Year Employment'!C$7,4)))+SUMIFS('Historic Employment Monthly'!$B65:$BS65,'Historic Employment Monthly'!$B$79:$BS$79,1,'Historic Employment Monthly'!$B$80:$BS$80,VALUE(CONCATENATE("20",RIGHT('Financial Year Employment'!C$7,2)))))/2,(SUMIFS('Historic Employment Monthly'!$B154:$BS154,'Historic Employment Monthly'!$B$79:$BS$79,2,'Historic Employment Monthly'!$B$80:$BS$80,VALUE(LEFT('Financial Year Employment'!C$7,4)))+SUMIFS('Historic Employment Monthly'!$B154:$BS154,'Historic Employment Monthly'!$B$79:$BS$79,1,'Historic Employment Monthly'!$B$80:$BS$80,VALUE(CONCATENATE("20",RIGHT('Financial Year Employment'!C$7,2)))))/2)</f>
        <v>1083.3333333333335</v>
      </c>
      <c r="D8" s="441">
        <f>IF($A$7=$A$100,(SUMIFS('Historic Employment Monthly'!$B65:$BS65,'Historic Employment Monthly'!$B$79:$BS$79,2,'Historic Employment Monthly'!$B$80:$BS$80,VALUE(LEFT('Financial Year Employment'!D$7,4)))+SUMIFS('Historic Employment Monthly'!$B65:$BS65,'Historic Employment Monthly'!$B$79:$BS$79,1,'Historic Employment Monthly'!$B$80:$BS$80,VALUE(CONCATENATE("20",RIGHT('Financial Year Employment'!D$7,2)))))/2,(SUMIFS('Historic Employment Monthly'!$B154:$BS154,'Historic Employment Monthly'!$B$79:$BS$79,2,'Historic Employment Monthly'!$B$80:$BS$80,VALUE(LEFT('Financial Year Employment'!D$7,4)))+SUMIFS('Historic Employment Monthly'!$B154:$BS154,'Historic Employment Monthly'!$B$79:$BS$79,1,'Historic Employment Monthly'!$B$80:$BS$80,VALUE(CONCATENATE("20",RIGHT('Financial Year Employment'!D$7,2)))))/2)</f>
        <v>1146.5</v>
      </c>
      <c r="E8" s="441">
        <f>IF($A$7=$A$100,(SUMIFS('Historic Employment Monthly'!$B65:$BS65,'Historic Employment Monthly'!$B$79:$BS$79,2,'Historic Employment Monthly'!$B$80:$BS$80,VALUE(LEFT('Financial Year Employment'!E$7,4)))+SUMIFS('Historic Employment Monthly'!$B65:$BS65,'Historic Employment Monthly'!$B$79:$BS$79,1,'Historic Employment Monthly'!$B$80:$BS$80,VALUE(CONCATENATE("20",RIGHT('Financial Year Employment'!E$7,2)))))/2,(SUMIFS('Historic Employment Monthly'!$B154:$BS154,'Historic Employment Monthly'!$B$79:$BS$79,2,'Historic Employment Monthly'!$B$80:$BS$80,VALUE(LEFT('Financial Year Employment'!E$7,4)))+SUMIFS('Historic Employment Monthly'!$B154:$BS154,'Historic Employment Monthly'!$B$79:$BS$79,1,'Historic Employment Monthly'!$B$80:$BS$80,VALUE(CONCATENATE("20",RIGHT('Financial Year Employment'!E$7,2)))))/2)</f>
        <v>914.33333333333326</v>
      </c>
      <c r="F8" s="441">
        <f>IF($A$7=$A$100,(SUMIFS('Historic Employment Monthly'!$B65:$BS65,'Historic Employment Monthly'!$B$79:$BS$79,2,'Historic Employment Monthly'!$B$80:$BS$80,VALUE(LEFT('Financial Year Employment'!F$7,4)))+SUMIFS('Historic Employment Monthly'!$B65:$BS65,'Historic Employment Monthly'!$B$79:$BS$79,1,'Historic Employment Monthly'!$B$80:$BS$80,VALUE(CONCATENATE("20",RIGHT('Financial Year Employment'!F$7,2)))))/2,(SUMIFS('Historic Employment Monthly'!$B154:$BS154,'Historic Employment Monthly'!$B$79:$BS$79,2,'Historic Employment Monthly'!$B$80:$BS$80,VALUE(LEFT('Financial Year Employment'!F$7,4)))+SUMIFS('Historic Employment Monthly'!$B154:$BS154,'Historic Employment Monthly'!$B$79:$BS$79,1,'Historic Employment Monthly'!$B$80:$BS$80,VALUE(CONCATENATE("20",RIGHT('Financial Year Employment'!F$7,2)))))/2)</f>
        <v>1112.25</v>
      </c>
      <c r="G8" s="441">
        <f>IF($A$7=$A$100,(SUMIFS('Historic Employment Monthly'!$B65:$BS65,'Historic Employment Monthly'!$B$79:$BS$79,2,'Historic Employment Monthly'!$B$80:$BS$80,VALUE(LEFT('Financial Year Employment'!G$7,4)))+SUMIFS('Historic Employment Monthly'!$B65:$BS65,'Historic Employment Monthly'!$B$79:$BS$79,1,'Historic Employment Monthly'!$B$80:$BS$80,VALUE(CONCATENATE("20",RIGHT('Financial Year Employment'!G$7,2)))))/2,(SUMIFS('Historic Employment Monthly'!$B154:$BS154,'Historic Employment Monthly'!$B$79:$BS$79,2,'Historic Employment Monthly'!$B$80:$BS$80,VALUE(LEFT('Financial Year Employment'!G$7,4)))+SUMIFS('Historic Employment Monthly'!$B154:$BS154,'Historic Employment Monthly'!$B$79:$BS$79,1,'Historic Employment Monthly'!$B$80:$BS$80,VALUE(CONCATENATE("20",RIGHT('Financial Year Employment'!G$7,2)))))/2)</f>
        <v>1881.0833333333335</v>
      </c>
      <c r="H8" s="441">
        <f>IF($A$7=$A$100,(SUMIFS('Historic Employment Monthly'!$B65:$BS65,'Historic Employment Monthly'!$B$79:$BS$79,2,'Historic Employment Monthly'!$B$80:$BS$80,VALUE(LEFT('Financial Year Employment'!H$7,4)))+SUMIFS('Historic Employment Monthly'!$B65:$BS65,'Historic Employment Monthly'!$B$79:$BS$79,1,'Historic Employment Monthly'!$B$80:$BS$80,VALUE(CONCATENATE("20",RIGHT('Financial Year Employment'!H$7,2)))))/2,(SUMIFS('Historic Employment Monthly'!$B154:$BS154,'Historic Employment Monthly'!$B$79:$BS$79,2,'Historic Employment Monthly'!$B$80:$BS$80,VALUE(LEFT('Financial Year Employment'!H$7,4)))+SUMIFS('Historic Employment Monthly'!$B154:$BS154,'Historic Employment Monthly'!$B$79:$BS$79,1,'Historic Employment Monthly'!$B$80:$BS$80,VALUE(CONCATENATE("20",RIGHT('Financial Year Employment'!H$7,2)))))/2)</f>
        <v>2122.25</v>
      </c>
      <c r="I8" s="441">
        <f>IF($A$7=$A$100,(SUMIFS('Historic Employment Monthly'!$B65:$BS65,'Historic Employment Monthly'!$B$79:$BS$79,2,'Historic Employment Monthly'!$B$80:$BS$80,VALUE(LEFT('Financial Year Employment'!I$7,4)))+SUMIFS('Historic Employment Monthly'!$B65:$BS65,'Historic Employment Monthly'!$B$79:$BS$79,1,'Historic Employment Monthly'!$B$80:$BS$80,VALUE(CONCATENATE("20",RIGHT('Financial Year Employment'!I$7,2)))))/2,(SUMIFS('Historic Employment Monthly'!$B154:$BS154,'Historic Employment Monthly'!$B$79:$BS$79,2,'Historic Employment Monthly'!$B$80:$BS$80,VALUE(LEFT('Financial Year Employment'!I$7,4)))+SUMIFS('Historic Employment Monthly'!$B154:$BS154,'Historic Employment Monthly'!$B$79:$BS$79,1,'Historic Employment Monthly'!$B$80:$BS$80,VALUE(CONCATENATE("20",RIGHT('Financial Year Employment'!I$7,2)))))/2)</f>
        <v>2382.25</v>
      </c>
      <c r="J8" s="441">
        <f>IF($A$7=$A$100,(SUMIFS('Historic Employment Monthly'!$B65:$BS65,'Historic Employment Monthly'!$B$79:$BS$79,2,'Historic Employment Monthly'!$B$80:$BS$80,VALUE(LEFT('Financial Year Employment'!J$7,4)))+SUMIFS('Historic Employment Monthly'!$B65:$BS65,'Historic Employment Monthly'!$B$79:$BS$79,1,'Historic Employment Monthly'!$B$80:$BS$80,VALUE(CONCATENATE("20",RIGHT('Financial Year Employment'!J$7,2)))))/2,(SUMIFS('Historic Employment Monthly'!$B154:$BS154,'Historic Employment Monthly'!$B$79:$BS$79,2,'Historic Employment Monthly'!$B$80:$BS$80,VALUE(LEFT('Financial Year Employment'!J$7,4)))+SUMIFS('Historic Employment Monthly'!$B154:$BS154,'Historic Employment Monthly'!$B$79:$BS$79,1,'Historic Employment Monthly'!$B$80:$BS$80,VALUE(CONCATENATE("20",RIGHT('Financial Year Employment'!J$7,2)))))/2)</f>
        <v>1926.8333333333333</v>
      </c>
      <c r="K8" s="441">
        <f>IF($A$7=$A$100,(SUMIFS('Historic Employment Monthly'!$B65:$BS65,'Historic Employment Monthly'!$B$79:$BS$79,2,'Historic Employment Monthly'!$B$80:$BS$80,VALUE(LEFT('Financial Year Employment'!K$7,4)))+SUMIFS('Historic Employment Monthly'!$B65:$BS65,'Historic Employment Monthly'!$B$79:$BS$79,1,'Historic Employment Monthly'!$B$80:$BS$80,VALUE(CONCATENATE("20",RIGHT('Financial Year Employment'!K$7,2)))))/2,(SUMIFS('Historic Employment Monthly'!$B154:$BS154,'Historic Employment Monthly'!$B$79:$BS$79,2,'Historic Employment Monthly'!$B$80:$BS$80,VALUE(LEFT('Financial Year Employment'!K$7,4)))+SUMIFS('Historic Employment Monthly'!$B154:$BS154,'Historic Employment Monthly'!$B$79:$BS$79,1,'Historic Employment Monthly'!$B$80:$BS$80,VALUE(CONCATENATE("20",RIGHT('Financial Year Employment'!K$7,2)))))/2)</f>
        <v>1929.3333333333335</v>
      </c>
      <c r="L8" s="441">
        <f>IF($A$7=$A$100,(SUMIFS('Historic Employment Monthly'!$B65:$BS65,'Historic Employment Monthly'!$B$79:$BS$79,2,'Historic Employment Monthly'!$B$80:$BS$80,VALUE(LEFT('Financial Year Employment'!L$7,4)))+SUMIFS('Historic Employment Monthly'!$B65:$BS65,'Historic Employment Monthly'!$B$79:$BS$79,1,'Historic Employment Monthly'!$B$80:$BS$80,VALUE(CONCATENATE("20",RIGHT('Financial Year Employment'!L$7,2)))))/2,(SUMIFS('Historic Employment Monthly'!$B154:$BS154,'Historic Employment Monthly'!$B$79:$BS$79,2,'Historic Employment Monthly'!$B$80:$BS$80,VALUE(LEFT('Financial Year Employment'!L$7,4)))+SUMIFS('Historic Employment Monthly'!$B154:$BS154,'Historic Employment Monthly'!$B$79:$BS$79,1,'Historic Employment Monthly'!$B$80:$BS$80,VALUE(CONCATENATE("20",RIGHT('Financial Year Employment'!L$7,2)))))/2)</f>
        <v>2315.75</v>
      </c>
      <c r="M8" s="441">
        <f>IF($A$7=$A$100,(SUMIFS('Historic Employment Monthly'!$B65:$BS65,'Historic Employment Monthly'!$B$79:$BS$79,2,'Historic Employment Monthly'!$B$80:$BS$80,VALUE(LEFT('Financial Year Employment'!M$7,4)))+SUMIFS('Historic Employment Monthly'!$B65:$BS65,'Historic Employment Monthly'!$B$79:$BS$79,1,'Historic Employment Monthly'!$B$80:$BS$80,VALUE(CONCATENATE("20",RIGHT('Financial Year Employment'!M$7,2)))))/2,(SUMIFS('Historic Employment Monthly'!$B154:$BS154,'Historic Employment Monthly'!$B$79:$BS$79,2,'Historic Employment Monthly'!$B$80:$BS$80,VALUE(LEFT('Financial Year Employment'!M$7,4)))+SUMIFS('Historic Employment Monthly'!$B154:$BS154,'Historic Employment Monthly'!$B$79:$BS$79,1,'Historic Employment Monthly'!$B$80:$BS$80,VALUE(CONCATENATE("20",RIGHT('Financial Year Employment'!M$7,2)))))/2)</f>
        <v>2907.6666666666665</v>
      </c>
      <c r="N8" s="441">
        <f>IF($A$7=$A$100,(SUMIFS('Historic Employment Monthly'!$B65:$BS65,'Historic Employment Monthly'!$B$79:$BS$79,2,'Historic Employment Monthly'!$B$80:$BS$80,VALUE(LEFT('Financial Year Employment'!N$7,4)))+SUMIFS('Historic Employment Monthly'!$B65:$BS65,'Historic Employment Monthly'!$B$79:$BS$79,1,'Historic Employment Monthly'!$B$80:$BS$80,VALUE(CONCATENATE("20",RIGHT('Financial Year Employment'!N$7,2)))))/2,(SUMIFS('Historic Employment Monthly'!$B154:$BS154,'Historic Employment Monthly'!$B$79:$BS$79,2,'Historic Employment Monthly'!$B$80:$BS$80,VALUE(LEFT('Financial Year Employment'!N$7,4)))+SUMIFS('Historic Employment Monthly'!$B154:$BS154,'Historic Employment Monthly'!$B$79:$BS$79,1,'Historic Employment Monthly'!$B$80:$BS$80,VALUE(CONCATENATE("20",RIGHT('Financial Year Employment'!N$7,2)))))/2)</f>
        <v>2920</v>
      </c>
      <c r="O8" s="441">
        <f>IF($A$7=$A$100,(SUMIFS('Historic Employment Monthly'!$B65:$BS65,'Historic Employment Monthly'!$B$79:$BS$79,2,'Historic Employment Monthly'!$B$80:$BS$80,VALUE(LEFT('Financial Year Employment'!O$7,4)))+SUMIFS('Historic Employment Monthly'!$B65:$BS65,'Historic Employment Monthly'!$B$79:$BS$79,1,'Historic Employment Monthly'!$B$80:$BS$80,VALUE(CONCATENATE("20",RIGHT('Financial Year Employment'!O$7,2)))))/2,(SUMIFS('Historic Employment Monthly'!$B154:$BS154,'Historic Employment Monthly'!$B$79:$BS$79,2,'Historic Employment Monthly'!$B$80:$BS$80,VALUE(LEFT('Financial Year Employment'!O$7,4)))+SUMIFS('Historic Employment Monthly'!$B154:$BS154,'Historic Employment Monthly'!$B$79:$BS$79,1,'Historic Employment Monthly'!$B$80:$BS$80,VALUE(CONCATENATE("20",RIGHT('Financial Year Employment'!O$7,2)))))/2)</f>
        <v>2649.166666666667</v>
      </c>
      <c r="P8" s="441">
        <f>IF($A$7=$A$100,(SUMIFS('Historic Employment Monthly'!$B65:$BS65,'Historic Employment Monthly'!$B$79:$BS$79,2,'Historic Employment Monthly'!$B$80:$BS$80,VALUE(LEFT('Financial Year Employment'!P$7,4)))+SUMIFS('Historic Employment Monthly'!$B65:$BS65,'Historic Employment Monthly'!$B$79:$BS$79,1,'Historic Employment Monthly'!$B$80:$BS$80,VALUE(CONCATENATE("20",RIGHT('Financial Year Employment'!P$7,2)))))/2,(SUMIFS('Historic Employment Monthly'!$B154:$BS154,'Historic Employment Monthly'!$B$79:$BS$79,2,'Historic Employment Monthly'!$B$80:$BS$80,VALUE(LEFT('Financial Year Employment'!P$7,4)))+SUMIFS('Historic Employment Monthly'!$B154:$BS154,'Historic Employment Monthly'!$B$79:$BS$79,1,'Historic Employment Monthly'!$B$80:$BS$80,VALUE(CONCATENATE("20",RIGHT('Financial Year Employment'!P$7,2)))))/2)</f>
        <v>2531.333333333333</v>
      </c>
      <c r="Q8" s="468">
        <f>IF($A$7=$A$100,(SUMIFS('Historic Employment Monthly'!$B65:$BS65,'Historic Employment Monthly'!$B$79:$BS$79,2,'Historic Employment Monthly'!$B$80:$BS$80,VALUE(LEFT('Financial Year Employment'!Q$7,4)))+SUMIFS('Historic Employment Monthly'!$B65:$BS65,'Historic Employment Monthly'!$B$79:$BS$79,1,'Historic Employment Monthly'!$B$80:$BS$80,VALUE(CONCATENATE("20",RIGHT('Financial Year Employment'!Q$7,2)))))/2,(SUMIFS('Historic Employment Monthly'!$B154:$BS154,'Historic Employment Monthly'!$B$79:$BS$79,2,'Historic Employment Monthly'!$B$80:$BS$80,VALUE(LEFT('Financial Year Employment'!Q$7,4)))+SUMIFS('Historic Employment Monthly'!$B154:$BS154,'Historic Employment Monthly'!$B$79:$BS$79,1,'Historic Employment Monthly'!$B$80:$BS$80,VALUE(CONCATENATE("20",RIGHT('Financial Year Employment'!Q$7,2)))))/2)</f>
        <v>2358.333333333333</v>
      </c>
      <c r="S8" s="229"/>
      <c r="T8" s="228"/>
      <c r="U8" s="229"/>
    </row>
    <row r="9" spans="1:71" s="184" customFormat="1">
      <c r="A9" s="159" t="s">
        <v>97</v>
      </c>
      <c r="B9" s="350"/>
      <c r="C9" s="442">
        <f>IF($A$7=$A$100,(SUMIFS('Historic Employment Monthly'!$B66:$BS66,'Historic Employment Monthly'!$B$79:$BS$79,2,'Historic Employment Monthly'!$B$80:$BS$80,VALUE(LEFT('Financial Year Employment'!C$7,4)))+SUMIFS('Historic Employment Monthly'!$B66:$BS66,'Historic Employment Monthly'!$B$79:$BS$79,1,'Historic Employment Monthly'!$B$80:$BS$80,VALUE(CONCATENATE("20",RIGHT('Financial Year Employment'!C$7,2)))))/2,(SUMIFS('Historic Employment Monthly'!$B155:$BS155,'Historic Employment Monthly'!$B$79:$BS$79,2,'Historic Employment Monthly'!$B$80:$BS$80,VALUE(LEFT('Financial Year Employment'!C$7,4)))+SUMIFS('Historic Employment Monthly'!$B155:$BS155,'Historic Employment Monthly'!$B$79:$BS$79,1,'Historic Employment Monthly'!$B$80:$BS$80,VALUE(CONCATENATE("20",RIGHT('Financial Year Employment'!C$7,2)))))/2)</f>
        <v>6443.666666666667</v>
      </c>
      <c r="D9" s="442">
        <f>IF($A$7=$A$100,(SUMIFS('Historic Employment Monthly'!$B66:$BS66,'Historic Employment Monthly'!$B$79:$BS$79,2,'Historic Employment Monthly'!$B$80:$BS$80,VALUE(LEFT('Financial Year Employment'!D$7,4)))+SUMIFS('Historic Employment Monthly'!$B66:$BS66,'Historic Employment Monthly'!$B$79:$BS$79,1,'Historic Employment Monthly'!$B$80:$BS$80,VALUE(CONCATENATE("20",RIGHT('Financial Year Employment'!D$7,2)))))/2,(SUMIFS('Historic Employment Monthly'!$B155:$BS155,'Historic Employment Monthly'!$B$79:$BS$79,2,'Historic Employment Monthly'!$B$80:$BS$80,VALUE(LEFT('Financial Year Employment'!D$7,4)))+SUMIFS('Historic Employment Monthly'!$B155:$BS155,'Historic Employment Monthly'!$B$79:$BS$79,1,'Historic Employment Monthly'!$B$80:$BS$80,VALUE(CONCATENATE("20",RIGHT('Financial Year Employment'!D$7,2)))))/2)</f>
        <v>6627</v>
      </c>
      <c r="E9" s="442">
        <f>IF($A$7=$A$100,(SUMIFS('Historic Employment Monthly'!$B66:$BS66,'Historic Employment Monthly'!$B$79:$BS$79,2,'Historic Employment Monthly'!$B$80:$BS$80,VALUE(LEFT('Financial Year Employment'!E$7,4)))+SUMIFS('Historic Employment Monthly'!$B66:$BS66,'Historic Employment Monthly'!$B$79:$BS$79,1,'Historic Employment Monthly'!$B$80:$BS$80,VALUE(CONCATENATE("20",RIGHT('Financial Year Employment'!E$7,2)))))/2,(SUMIFS('Historic Employment Monthly'!$B155:$BS155,'Historic Employment Monthly'!$B$79:$BS$79,2,'Historic Employment Monthly'!$B$80:$BS$80,VALUE(LEFT('Financial Year Employment'!E$7,4)))+SUMIFS('Historic Employment Monthly'!$B155:$BS155,'Historic Employment Monthly'!$B$79:$BS$79,1,'Historic Employment Monthly'!$B$80:$BS$80,VALUE(CONCATENATE("20",RIGHT('Financial Year Employment'!E$7,2)))))/2)</f>
        <v>6955.1666666666661</v>
      </c>
      <c r="F9" s="442">
        <f>IF($A$7=$A$100,(SUMIFS('Historic Employment Monthly'!$B66:$BS66,'Historic Employment Monthly'!$B$79:$BS$79,2,'Historic Employment Monthly'!$B$80:$BS$80,VALUE(LEFT('Financial Year Employment'!F$7,4)))+SUMIFS('Historic Employment Monthly'!$B66:$BS66,'Historic Employment Monthly'!$B$79:$BS$79,1,'Historic Employment Monthly'!$B$80:$BS$80,VALUE(CONCATENATE("20",RIGHT('Financial Year Employment'!F$7,2)))))/2,(SUMIFS('Historic Employment Monthly'!$B155:$BS155,'Historic Employment Monthly'!$B$79:$BS$79,2,'Historic Employment Monthly'!$B$80:$BS$80,VALUE(LEFT('Financial Year Employment'!F$7,4)))+SUMIFS('Historic Employment Monthly'!$B155:$BS155,'Historic Employment Monthly'!$B$79:$BS$79,1,'Historic Employment Monthly'!$B$80:$BS$80,VALUE(CONCATENATE("20",RIGHT('Financial Year Employment'!F$7,2)))))/2)</f>
        <v>8462.8333333333339</v>
      </c>
      <c r="G9" s="442">
        <f>IF($A$7=$A$100,(SUMIFS('Historic Employment Monthly'!$B66:$BS66,'Historic Employment Monthly'!$B$79:$BS$79,2,'Historic Employment Monthly'!$B$80:$BS$80,VALUE(LEFT('Financial Year Employment'!G$7,4)))+SUMIFS('Historic Employment Monthly'!$B66:$BS66,'Historic Employment Monthly'!$B$79:$BS$79,1,'Historic Employment Monthly'!$B$80:$BS$80,VALUE(CONCATENATE("20",RIGHT('Financial Year Employment'!G$7,2)))))/2,(SUMIFS('Historic Employment Monthly'!$B155:$BS155,'Historic Employment Monthly'!$B$79:$BS$79,2,'Historic Employment Monthly'!$B$80:$BS$80,VALUE(LEFT('Financial Year Employment'!G$7,4)))+SUMIFS('Historic Employment Monthly'!$B155:$BS155,'Historic Employment Monthly'!$B$79:$BS$79,1,'Historic Employment Monthly'!$B$80:$BS$80,VALUE(CONCATENATE("20",RIGHT('Financial Year Employment'!G$7,2)))))/2)</f>
        <v>9757.4166666666679</v>
      </c>
      <c r="H9" s="442">
        <f>IF($A$7=$A$100,(SUMIFS('Historic Employment Monthly'!$B66:$BS66,'Historic Employment Monthly'!$B$79:$BS$79,2,'Historic Employment Monthly'!$B$80:$BS$80,VALUE(LEFT('Financial Year Employment'!H$7,4)))+SUMIFS('Historic Employment Monthly'!$B66:$BS66,'Historic Employment Monthly'!$B$79:$BS$79,1,'Historic Employment Monthly'!$B$80:$BS$80,VALUE(CONCATENATE("20",RIGHT('Financial Year Employment'!H$7,2)))))/2,(SUMIFS('Historic Employment Monthly'!$B155:$BS155,'Historic Employment Monthly'!$B$79:$BS$79,2,'Historic Employment Monthly'!$B$80:$BS$80,VALUE(LEFT('Financial Year Employment'!H$7,4)))+SUMIFS('Historic Employment Monthly'!$B155:$BS155,'Historic Employment Monthly'!$B$79:$BS$79,1,'Historic Employment Monthly'!$B$80:$BS$80,VALUE(CONCATENATE("20",RIGHT('Financial Year Employment'!H$7,2)))))/2)</f>
        <v>8478.6666666666679</v>
      </c>
      <c r="I9" s="442">
        <f>IF($A$7=$A$100,(SUMIFS('Historic Employment Monthly'!$B66:$BS66,'Historic Employment Monthly'!$B$79:$BS$79,2,'Historic Employment Monthly'!$B$80:$BS$80,VALUE(LEFT('Financial Year Employment'!I$7,4)))+SUMIFS('Historic Employment Monthly'!$B66:$BS66,'Historic Employment Monthly'!$B$79:$BS$79,1,'Historic Employment Monthly'!$B$80:$BS$80,VALUE(CONCATENATE("20",RIGHT('Financial Year Employment'!I$7,2)))))/2,(SUMIFS('Historic Employment Monthly'!$B155:$BS155,'Historic Employment Monthly'!$B$79:$BS$79,2,'Historic Employment Monthly'!$B$80:$BS$80,VALUE(LEFT('Financial Year Employment'!I$7,4)))+SUMIFS('Historic Employment Monthly'!$B155:$BS155,'Historic Employment Monthly'!$B$79:$BS$79,1,'Historic Employment Monthly'!$B$80:$BS$80,VALUE(CONCATENATE("20",RIGHT('Financial Year Employment'!I$7,2)))))/2)</f>
        <v>8267.75</v>
      </c>
      <c r="J9" s="442">
        <f>IF($A$7=$A$100,(SUMIFS('Historic Employment Monthly'!$B66:$BS66,'Historic Employment Monthly'!$B$79:$BS$79,2,'Historic Employment Monthly'!$B$80:$BS$80,VALUE(LEFT('Financial Year Employment'!J$7,4)))+SUMIFS('Historic Employment Monthly'!$B66:$BS66,'Historic Employment Monthly'!$B$79:$BS$79,1,'Historic Employment Monthly'!$B$80:$BS$80,VALUE(CONCATENATE("20",RIGHT('Financial Year Employment'!J$7,2)))))/2,(SUMIFS('Historic Employment Monthly'!$B155:$BS155,'Historic Employment Monthly'!$B$79:$BS$79,2,'Historic Employment Monthly'!$B$80:$BS$80,VALUE(LEFT('Financial Year Employment'!J$7,4)))+SUMIFS('Historic Employment Monthly'!$B155:$BS155,'Historic Employment Monthly'!$B$79:$BS$79,1,'Historic Employment Monthly'!$B$80:$BS$80,VALUE(CONCATENATE("20",RIGHT('Financial Year Employment'!J$7,2)))))/2)</f>
        <v>8153.75</v>
      </c>
      <c r="K9" s="442">
        <f>IF($A$7=$A$100,(SUMIFS('Historic Employment Monthly'!$B66:$BS66,'Historic Employment Monthly'!$B$79:$BS$79,2,'Historic Employment Monthly'!$B$80:$BS$80,VALUE(LEFT('Financial Year Employment'!K$7,4)))+SUMIFS('Historic Employment Monthly'!$B66:$BS66,'Historic Employment Monthly'!$B$79:$BS$79,1,'Historic Employment Monthly'!$B$80:$BS$80,VALUE(CONCATENATE("20",RIGHT('Financial Year Employment'!K$7,2)))))/2,(SUMIFS('Historic Employment Monthly'!$B155:$BS155,'Historic Employment Monthly'!$B$79:$BS$79,2,'Historic Employment Monthly'!$B$80:$BS$80,VALUE(LEFT('Financial Year Employment'!K$7,4)))+SUMIFS('Historic Employment Monthly'!$B155:$BS155,'Historic Employment Monthly'!$B$79:$BS$79,1,'Historic Employment Monthly'!$B$80:$BS$80,VALUE(CONCATENATE("20",RIGHT('Financial Year Employment'!K$7,2)))))/2)</f>
        <v>8820</v>
      </c>
      <c r="L9" s="442">
        <f>IF($A$7=$A$100,(SUMIFS('Historic Employment Monthly'!$B66:$BS66,'Historic Employment Monthly'!$B$79:$BS$79,2,'Historic Employment Monthly'!$B$80:$BS$80,VALUE(LEFT('Financial Year Employment'!L$7,4)))+SUMIFS('Historic Employment Monthly'!$B66:$BS66,'Historic Employment Monthly'!$B$79:$BS$79,1,'Historic Employment Monthly'!$B$80:$BS$80,VALUE(CONCATENATE("20",RIGHT('Financial Year Employment'!L$7,2)))))/2,(SUMIFS('Historic Employment Monthly'!$B155:$BS155,'Historic Employment Monthly'!$B$79:$BS$79,2,'Historic Employment Monthly'!$B$80:$BS$80,VALUE(LEFT('Financial Year Employment'!L$7,4)))+SUMIFS('Historic Employment Monthly'!$B155:$BS155,'Historic Employment Monthly'!$B$79:$BS$79,1,'Historic Employment Monthly'!$B$80:$BS$80,VALUE(CONCATENATE("20",RIGHT('Financial Year Employment'!L$7,2)))))/2)</f>
        <v>10807.583333333332</v>
      </c>
      <c r="M9" s="442">
        <f>IF($A$7=$A$100,(SUMIFS('Historic Employment Monthly'!$B66:$BS66,'Historic Employment Monthly'!$B$79:$BS$79,2,'Historic Employment Monthly'!$B$80:$BS$80,VALUE(LEFT('Financial Year Employment'!M$7,4)))+SUMIFS('Historic Employment Monthly'!$B66:$BS66,'Historic Employment Monthly'!$B$79:$BS$79,1,'Historic Employment Monthly'!$B$80:$BS$80,VALUE(CONCATENATE("20",RIGHT('Financial Year Employment'!M$7,2)))))/2,(SUMIFS('Historic Employment Monthly'!$B155:$BS155,'Historic Employment Monthly'!$B$79:$BS$79,2,'Historic Employment Monthly'!$B$80:$BS$80,VALUE(LEFT('Financial Year Employment'!M$7,4)))+SUMIFS('Historic Employment Monthly'!$B155:$BS155,'Historic Employment Monthly'!$B$79:$BS$79,1,'Historic Employment Monthly'!$B$80:$BS$80,VALUE(CONCATENATE("20",RIGHT('Financial Year Employment'!M$7,2)))))/2)</f>
        <v>10155.833333333332</v>
      </c>
      <c r="N9" s="442">
        <f>IF($A$7=$A$100,(SUMIFS('Historic Employment Monthly'!$B66:$BS66,'Historic Employment Monthly'!$B$79:$BS$79,2,'Historic Employment Monthly'!$B$80:$BS$80,VALUE(LEFT('Financial Year Employment'!N$7,4)))+SUMIFS('Historic Employment Monthly'!$B66:$BS66,'Historic Employment Monthly'!$B$79:$BS$79,1,'Historic Employment Monthly'!$B$80:$BS$80,VALUE(CONCATENATE("20",RIGHT('Financial Year Employment'!N$7,2)))))/2,(SUMIFS('Historic Employment Monthly'!$B155:$BS155,'Historic Employment Monthly'!$B$79:$BS$79,2,'Historic Employment Monthly'!$B$80:$BS$80,VALUE(LEFT('Financial Year Employment'!N$7,4)))+SUMIFS('Historic Employment Monthly'!$B155:$BS155,'Historic Employment Monthly'!$B$79:$BS$79,1,'Historic Employment Monthly'!$B$80:$BS$80,VALUE(CONCATENATE("20",RIGHT('Financial Year Employment'!N$7,2)))))/2)</f>
        <v>7391.5833333333339</v>
      </c>
      <c r="O9" s="442">
        <f>IF($A$7=$A$100,(SUMIFS('Historic Employment Monthly'!$B66:$BS66,'Historic Employment Monthly'!$B$79:$BS$79,2,'Historic Employment Monthly'!$B$80:$BS$80,VALUE(LEFT('Financial Year Employment'!O$7,4)))+SUMIFS('Historic Employment Monthly'!$B66:$BS66,'Historic Employment Monthly'!$B$79:$BS$79,1,'Historic Employment Monthly'!$B$80:$BS$80,VALUE(CONCATENATE("20",RIGHT('Financial Year Employment'!O$7,2)))))/2,(SUMIFS('Historic Employment Monthly'!$B155:$BS155,'Historic Employment Monthly'!$B$79:$BS$79,2,'Historic Employment Monthly'!$B$80:$BS$80,VALUE(LEFT('Financial Year Employment'!O$7,4)))+SUMIFS('Historic Employment Monthly'!$B155:$BS155,'Historic Employment Monthly'!$B$79:$BS$79,1,'Historic Employment Monthly'!$B$80:$BS$80,VALUE(CONCATENATE("20",RIGHT('Financial Year Employment'!O$7,2)))))/2)</f>
        <v>7407.75</v>
      </c>
      <c r="P9" s="442">
        <f>IF($A$7=$A$100,(SUMIFS('Historic Employment Monthly'!$B66:$BS66,'Historic Employment Monthly'!$B$79:$BS$79,2,'Historic Employment Monthly'!$B$80:$BS$80,VALUE(LEFT('Financial Year Employment'!P$7,4)))+SUMIFS('Historic Employment Monthly'!$B66:$BS66,'Historic Employment Monthly'!$B$79:$BS$79,1,'Historic Employment Monthly'!$B$80:$BS$80,VALUE(CONCATENATE("20",RIGHT('Financial Year Employment'!P$7,2)))))/2,(SUMIFS('Historic Employment Monthly'!$B155:$BS155,'Historic Employment Monthly'!$B$79:$BS$79,2,'Historic Employment Monthly'!$B$80:$BS$80,VALUE(LEFT('Financial Year Employment'!P$7,4)))+SUMIFS('Historic Employment Monthly'!$B155:$BS155,'Historic Employment Monthly'!$B$79:$BS$79,1,'Historic Employment Monthly'!$B$80:$BS$80,VALUE(CONCATENATE("20",RIGHT('Financial Year Employment'!P$7,2)))))/2)</f>
        <v>7481.333333333333</v>
      </c>
      <c r="Q9" s="353">
        <f>IF($A$7=$A$100,(SUMIFS('Historic Employment Monthly'!$B66:$BS66,'Historic Employment Monthly'!$B$79:$BS$79,2,'Historic Employment Monthly'!$B$80:$BS$80,VALUE(LEFT('Financial Year Employment'!Q$7,4)))+SUMIFS('Historic Employment Monthly'!$B66:$BS66,'Historic Employment Monthly'!$B$79:$BS$79,1,'Historic Employment Monthly'!$B$80:$BS$80,VALUE(CONCATENATE("20",RIGHT('Financial Year Employment'!Q$7,2)))))/2,(SUMIFS('Historic Employment Monthly'!$B155:$BS155,'Historic Employment Monthly'!$B$79:$BS$79,2,'Historic Employment Monthly'!$B$80:$BS$80,VALUE(LEFT('Financial Year Employment'!Q$7,4)))+SUMIFS('Historic Employment Monthly'!$B155:$BS155,'Historic Employment Monthly'!$B$79:$BS$79,1,'Historic Employment Monthly'!$B$80:$BS$80,VALUE(CONCATENATE("20",RIGHT('Financial Year Employment'!Q$7,2)))))/2)</f>
        <v>7234.166666666667</v>
      </c>
      <c r="S9" s="229"/>
      <c r="T9" s="228"/>
      <c r="U9" s="229"/>
    </row>
    <row r="10" spans="1:71" s="184" customFormat="1">
      <c r="A10" s="159" t="s">
        <v>99</v>
      </c>
      <c r="B10" s="349"/>
      <c r="C10" s="348">
        <f>IF($A$7=$A$100,(SUMIFS('Historic Employment Monthly'!$B67:$BS67,'Historic Employment Monthly'!$B$79:$BS$79,2,'Historic Employment Monthly'!$B$80:$BS$80,VALUE(LEFT('Financial Year Employment'!C$7,4)))+SUMIFS('Historic Employment Monthly'!$B67:$BS67,'Historic Employment Monthly'!$B$79:$BS$79,1,'Historic Employment Monthly'!$B$80:$BS$80,VALUE(CONCATENATE("20",RIGHT('Financial Year Employment'!C$7,2)))))/2,(SUMIFS('Historic Employment Monthly'!$B156:$BS156,'Historic Employment Monthly'!$B$79:$BS$79,2,'Historic Employment Monthly'!$B$80:$BS$80,VALUE(LEFT('Financial Year Employment'!C$7,4)))+SUMIFS('Historic Employment Monthly'!$B156:$BS156,'Historic Employment Monthly'!$B$79:$BS$79,1,'Historic Employment Monthly'!$B$80:$BS$80,VALUE(CONCATENATE("20",RIGHT('Financial Year Employment'!C$7,2)))))/2)</f>
        <v>662.08333333333337</v>
      </c>
      <c r="D10" s="348">
        <f>IF($A$7=$A$100,(SUMIFS('Historic Employment Monthly'!$B67:$BS67,'Historic Employment Monthly'!$B$79:$BS$79,2,'Historic Employment Monthly'!$B$80:$BS$80,VALUE(LEFT('Financial Year Employment'!D$7,4)))+SUMIFS('Historic Employment Monthly'!$B67:$BS67,'Historic Employment Monthly'!$B$79:$BS$79,1,'Historic Employment Monthly'!$B$80:$BS$80,VALUE(CONCATENATE("20",RIGHT('Financial Year Employment'!D$7,2)))))/2,(SUMIFS('Historic Employment Monthly'!$B156:$BS156,'Historic Employment Monthly'!$B$79:$BS$79,2,'Historic Employment Monthly'!$B$80:$BS$80,VALUE(LEFT('Financial Year Employment'!D$7,4)))+SUMIFS('Historic Employment Monthly'!$B156:$BS156,'Historic Employment Monthly'!$B$79:$BS$79,1,'Historic Employment Monthly'!$B$80:$BS$80,VALUE(CONCATENATE("20",RIGHT('Financial Year Employment'!D$7,2)))))/2)</f>
        <v>639.91666666666663</v>
      </c>
      <c r="E10" s="348">
        <f>IF($A$7=$A$100,(SUMIFS('Historic Employment Monthly'!$B67:$BS67,'Historic Employment Monthly'!$B$79:$BS$79,2,'Historic Employment Monthly'!$B$80:$BS$80,VALUE(LEFT('Financial Year Employment'!E$7,4)))+SUMIFS('Historic Employment Monthly'!$B67:$BS67,'Historic Employment Monthly'!$B$79:$BS$79,1,'Historic Employment Monthly'!$B$80:$BS$80,VALUE(CONCATENATE("20",RIGHT('Financial Year Employment'!E$7,2)))))/2,(SUMIFS('Historic Employment Monthly'!$B156:$BS156,'Historic Employment Monthly'!$B$79:$BS$79,2,'Historic Employment Monthly'!$B$80:$BS$80,VALUE(LEFT('Financial Year Employment'!E$7,4)))+SUMIFS('Historic Employment Monthly'!$B156:$BS156,'Historic Employment Monthly'!$B$79:$BS$79,1,'Historic Employment Monthly'!$B$80:$BS$80,VALUE(CONCATENATE("20",RIGHT('Financial Year Employment'!E$7,2)))))/2)</f>
        <v>640.75</v>
      </c>
      <c r="F10" s="348">
        <f>IF($A$7=$A$100,(SUMIFS('Historic Employment Monthly'!$B67:$BS67,'Historic Employment Monthly'!$B$79:$BS$79,2,'Historic Employment Monthly'!$B$80:$BS$80,VALUE(LEFT('Financial Year Employment'!F$7,4)))+SUMIFS('Historic Employment Monthly'!$B67:$BS67,'Historic Employment Monthly'!$B$79:$BS$79,1,'Historic Employment Monthly'!$B$80:$BS$80,VALUE(CONCATENATE("20",RIGHT('Financial Year Employment'!F$7,2)))))/2,(SUMIFS('Historic Employment Monthly'!$B156:$BS156,'Historic Employment Monthly'!$B$79:$BS$79,2,'Historic Employment Monthly'!$B$80:$BS$80,VALUE(LEFT('Financial Year Employment'!F$7,4)))+SUMIFS('Historic Employment Monthly'!$B156:$BS156,'Historic Employment Monthly'!$B$79:$BS$79,1,'Historic Employment Monthly'!$B$80:$BS$80,VALUE(CONCATENATE("20",RIGHT('Financial Year Employment'!F$7,2)))))/2)</f>
        <v>682.08333333333326</v>
      </c>
      <c r="G10" s="348">
        <f>IF($A$7=$A$100,(SUMIFS('Historic Employment Monthly'!$B67:$BS67,'Historic Employment Monthly'!$B$79:$BS$79,2,'Historic Employment Monthly'!$B$80:$BS$80,VALUE(LEFT('Financial Year Employment'!G$7,4)))+SUMIFS('Historic Employment Monthly'!$B67:$BS67,'Historic Employment Monthly'!$B$79:$BS$79,1,'Historic Employment Monthly'!$B$80:$BS$80,VALUE(CONCATENATE("20",RIGHT('Financial Year Employment'!G$7,2)))))/2,(SUMIFS('Historic Employment Monthly'!$B156:$BS156,'Historic Employment Monthly'!$B$79:$BS$79,2,'Historic Employment Monthly'!$B$80:$BS$80,VALUE(LEFT('Financial Year Employment'!G$7,4)))+SUMIFS('Historic Employment Monthly'!$B156:$BS156,'Historic Employment Monthly'!$B$79:$BS$79,1,'Historic Employment Monthly'!$B$80:$BS$80,VALUE(CONCATENATE("20",RIGHT('Financial Year Employment'!G$7,2)))))/2)</f>
        <v>750.58333333333326</v>
      </c>
      <c r="H10" s="348">
        <f>IF($A$7=$A$100,(SUMIFS('Historic Employment Monthly'!$B67:$BS67,'Historic Employment Monthly'!$B$79:$BS$79,2,'Historic Employment Monthly'!$B$80:$BS$80,VALUE(LEFT('Financial Year Employment'!H$7,4)))+SUMIFS('Historic Employment Monthly'!$B67:$BS67,'Historic Employment Monthly'!$B$79:$BS$79,1,'Historic Employment Monthly'!$B$80:$BS$80,VALUE(CONCATENATE("20",RIGHT('Financial Year Employment'!H$7,2)))))/2,(SUMIFS('Historic Employment Monthly'!$B156:$BS156,'Historic Employment Monthly'!$B$79:$BS$79,2,'Historic Employment Monthly'!$B$80:$BS$80,VALUE(LEFT('Financial Year Employment'!H$7,4)))+SUMIFS('Historic Employment Monthly'!$B156:$BS156,'Historic Employment Monthly'!$B$79:$BS$79,1,'Historic Employment Monthly'!$B$80:$BS$80,VALUE(CONCATENATE("20",RIGHT('Financial Year Employment'!H$7,2)))))/2)</f>
        <v>771.41666666666674</v>
      </c>
      <c r="I10" s="441">
        <f>IF($A$7=$A$100,(SUMIFS('Historic Employment Monthly'!$B67:$BS67,'Historic Employment Monthly'!$B$79:$BS$79,2,'Historic Employment Monthly'!$B$80:$BS$80,VALUE(LEFT('Financial Year Employment'!I$7,4)))+SUMIFS('Historic Employment Monthly'!$B67:$BS67,'Historic Employment Monthly'!$B$79:$BS$79,1,'Historic Employment Monthly'!$B$80:$BS$80,VALUE(CONCATENATE("20",RIGHT('Financial Year Employment'!I$7,2)))))/2,(SUMIFS('Historic Employment Monthly'!$B156:$BS156,'Historic Employment Monthly'!$B$79:$BS$79,2,'Historic Employment Monthly'!$B$80:$BS$80,VALUE(LEFT('Financial Year Employment'!I$7,4)))+SUMIFS('Historic Employment Monthly'!$B156:$BS156,'Historic Employment Monthly'!$B$79:$BS$79,1,'Historic Employment Monthly'!$B$80:$BS$80,VALUE(CONCATENATE("20",RIGHT('Financial Year Employment'!I$7,2)))))/2)</f>
        <v>860</v>
      </c>
      <c r="J10" s="441">
        <f>IF($A$7=$A$100,(SUMIFS('Historic Employment Monthly'!$B67:$BS67,'Historic Employment Monthly'!$B$79:$BS$79,2,'Historic Employment Monthly'!$B$80:$BS$80,VALUE(LEFT('Financial Year Employment'!J$7,4)))+SUMIFS('Historic Employment Monthly'!$B67:$BS67,'Historic Employment Monthly'!$B$79:$BS$79,1,'Historic Employment Monthly'!$B$80:$BS$80,VALUE(CONCATENATE("20",RIGHT('Financial Year Employment'!J$7,2)))))/2,(SUMIFS('Historic Employment Monthly'!$B156:$BS156,'Historic Employment Monthly'!$B$79:$BS$79,2,'Historic Employment Monthly'!$B$80:$BS$80,VALUE(LEFT('Financial Year Employment'!J$7,4)))+SUMIFS('Historic Employment Monthly'!$B156:$BS156,'Historic Employment Monthly'!$B$79:$BS$79,1,'Historic Employment Monthly'!$B$80:$BS$80,VALUE(CONCATENATE("20",RIGHT('Financial Year Employment'!J$7,2)))))/2)</f>
        <v>915.25</v>
      </c>
      <c r="K10" s="441">
        <f>IF($A$7=$A$100,(SUMIFS('Historic Employment Monthly'!$B67:$BS67,'Historic Employment Monthly'!$B$79:$BS$79,2,'Historic Employment Monthly'!$B$80:$BS$80,VALUE(LEFT('Financial Year Employment'!K$7,4)))+SUMIFS('Historic Employment Monthly'!$B67:$BS67,'Historic Employment Monthly'!$B$79:$BS$79,1,'Historic Employment Monthly'!$B$80:$BS$80,VALUE(CONCATENATE("20",RIGHT('Financial Year Employment'!K$7,2)))))/2,(SUMIFS('Historic Employment Monthly'!$B156:$BS156,'Historic Employment Monthly'!$B$79:$BS$79,2,'Historic Employment Monthly'!$B$80:$BS$80,VALUE(LEFT('Financial Year Employment'!K$7,4)))+SUMIFS('Historic Employment Monthly'!$B156:$BS156,'Historic Employment Monthly'!$B$79:$BS$79,1,'Historic Employment Monthly'!$B$80:$BS$80,VALUE(CONCATENATE("20",RIGHT('Financial Year Employment'!K$7,2)))))/2)</f>
        <v>968.5</v>
      </c>
      <c r="L10" s="441">
        <f>IF($A$7=$A$100,(SUMIFS('Historic Employment Monthly'!$B67:$BS67,'Historic Employment Monthly'!$B$79:$BS$79,2,'Historic Employment Monthly'!$B$80:$BS$80,VALUE(LEFT('Financial Year Employment'!L$7,4)))+SUMIFS('Historic Employment Monthly'!$B67:$BS67,'Historic Employment Monthly'!$B$79:$BS$79,1,'Historic Employment Monthly'!$B$80:$BS$80,VALUE(CONCATENATE("20",RIGHT('Financial Year Employment'!L$7,2)))))/2,(SUMIFS('Historic Employment Monthly'!$B156:$BS156,'Historic Employment Monthly'!$B$79:$BS$79,2,'Historic Employment Monthly'!$B$80:$BS$80,VALUE(LEFT('Financial Year Employment'!L$7,4)))+SUMIFS('Historic Employment Monthly'!$B156:$BS156,'Historic Employment Monthly'!$B$79:$BS$79,1,'Historic Employment Monthly'!$B$80:$BS$80,VALUE(CONCATENATE("20",RIGHT('Financial Year Employment'!L$7,2)))))/2)</f>
        <v>984.58333333333337</v>
      </c>
      <c r="M10" s="441">
        <f>IF($A$7=$A$100,(SUMIFS('Historic Employment Monthly'!$B67:$BS67,'Historic Employment Monthly'!$B$79:$BS$79,2,'Historic Employment Monthly'!$B$80:$BS$80,VALUE(LEFT('Financial Year Employment'!M$7,4)))+SUMIFS('Historic Employment Monthly'!$B67:$BS67,'Historic Employment Monthly'!$B$79:$BS$79,1,'Historic Employment Monthly'!$B$80:$BS$80,VALUE(CONCATENATE("20",RIGHT('Financial Year Employment'!M$7,2)))))/2,(SUMIFS('Historic Employment Monthly'!$B156:$BS156,'Historic Employment Monthly'!$B$79:$BS$79,2,'Historic Employment Monthly'!$B$80:$BS$80,VALUE(LEFT('Financial Year Employment'!M$7,4)))+SUMIFS('Historic Employment Monthly'!$B156:$BS156,'Historic Employment Monthly'!$B$79:$BS$79,1,'Historic Employment Monthly'!$B$80:$BS$80,VALUE(CONCATENATE("20",RIGHT('Financial Year Employment'!M$7,2)))))/2)</f>
        <v>589.08333333333337</v>
      </c>
      <c r="N10" s="441">
        <f>IF($A$7=$A$100,(SUMIFS('Historic Employment Monthly'!$B67:$BS67,'Historic Employment Monthly'!$B$79:$BS$79,2,'Historic Employment Monthly'!$B$80:$BS$80,VALUE(LEFT('Financial Year Employment'!N$7,4)))+SUMIFS('Historic Employment Monthly'!$B67:$BS67,'Historic Employment Monthly'!$B$79:$BS$79,1,'Historic Employment Monthly'!$B$80:$BS$80,VALUE(CONCATENATE("20",RIGHT('Financial Year Employment'!N$7,2)))))/2,(SUMIFS('Historic Employment Monthly'!$B156:$BS156,'Historic Employment Monthly'!$B$79:$BS$79,2,'Historic Employment Monthly'!$B$80:$BS$80,VALUE(LEFT('Financial Year Employment'!N$7,4)))+SUMIFS('Historic Employment Monthly'!$B156:$BS156,'Historic Employment Monthly'!$B$79:$BS$79,1,'Historic Employment Monthly'!$B$80:$BS$80,VALUE(CONCATENATE("20",RIGHT('Financial Year Employment'!N$7,2)))))/2)</f>
        <v>417.91666666666669</v>
      </c>
      <c r="O10" s="441">
        <f>IF($A$7=$A$100,(SUMIFS('Historic Employment Monthly'!$B67:$BS67,'Historic Employment Monthly'!$B$79:$BS$79,2,'Historic Employment Monthly'!$B$80:$BS$80,VALUE(LEFT('Financial Year Employment'!O$7,4)))+SUMIFS('Historic Employment Monthly'!$B67:$BS67,'Historic Employment Monthly'!$B$79:$BS$79,1,'Historic Employment Monthly'!$B$80:$BS$80,VALUE(CONCATENATE("20",RIGHT('Financial Year Employment'!O$7,2)))))/2,(SUMIFS('Historic Employment Monthly'!$B156:$BS156,'Historic Employment Monthly'!$B$79:$BS$79,2,'Historic Employment Monthly'!$B$80:$BS$80,VALUE(LEFT('Financial Year Employment'!O$7,4)))+SUMIFS('Historic Employment Monthly'!$B156:$BS156,'Historic Employment Monthly'!$B$79:$BS$79,1,'Historic Employment Monthly'!$B$80:$BS$80,VALUE(CONCATENATE("20",RIGHT('Financial Year Employment'!O$7,2)))))/2)</f>
        <v>638.41666666666674</v>
      </c>
      <c r="P10" s="441">
        <f>IF($A$7=$A$100,(SUMIFS('Historic Employment Monthly'!$B67:$BS67,'Historic Employment Monthly'!$B$79:$BS$79,2,'Historic Employment Monthly'!$B$80:$BS$80,VALUE(LEFT('Financial Year Employment'!P$7,4)))+SUMIFS('Historic Employment Monthly'!$B67:$BS67,'Historic Employment Monthly'!$B$79:$BS$79,1,'Historic Employment Monthly'!$B$80:$BS$80,VALUE(CONCATENATE("20",RIGHT('Financial Year Employment'!P$7,2)))))/2,(SUMIFS('Historic Employment Monthly'!$B156:$BS156,'Historic Employment Monthly'!$B$79:$BS$79,2,'Historic Employment Monthly'!$B$80:$BS$80,VALUE(LEFT('Financial Year Employment'!P$7,4)))+SUMIFS('Historic Employment Monthly'!$B156:$BS156,'Historic Employment Monthly'!$B$79:$BS$79,1,'Historic Employment Monthly'!$B$80:$BS$80,VALUE(CONCATENATE("20",RIGHT('Financial Year Employment'!P$7,2)))))/2)</f>
        <v>957.91666666666674</v>
      </c>
      <c r="Q10" s="352">
        <f>IF($A$7=$A$100,(SUMIFS('Historic Employment Monthly'!$B67:$BS67,'Historic Employment Monthly'!$B$79:$BS$79,2,'Historic Employment Monthly'!$B$80:$BS$80,VALUE(LEFT('Financial Year Employment'!Q$7,4)))+SUMIFS('Historic Employment Monthly'!$B67:$BS67,'Historic Employment Monthly'!$B$79:$BS$79,1,'Historic Employment Monthly'!$B$80:$BS$80,VALUE(CONCATENATE("20",RIGHT('Financial Year Employment'!Q$7,2)))))/2,(SUMIFS('Historic Employment Monthly'!$B156:$BS156,'Historic Employment Monthly'!$B$79:$BS$79,2,'Historic Employment Monthly'!$B$80:$BS$80,VALUE(LEFT('Financial Year Employment'!Q$7,4)))+SUMIFS('Historic Employment Monthly'!$B156:$BS156,'Historic Employment Monthly'!$B$79:$BS$79,1,'Historic Employment Monthly'!$B$80:$BS$80,VALUE(CONCATENATE("20",RIGHT('Financial Year Employment'!Q$7,2)))))/2)</f>
        <v>1128.0833333333335</v>
      </c>
      <c r="S10" s="229"/>
      <c r="T10" s="228"/>
      <c r="U10" s="229"/>
    </row>
    <row r="11" spans="1:71" s="184" customFormat="1">
      <c r="A11" s="159" t="s">
        <v>127</v>
      </c>
      <c r="B11" s="350"/>
      <c r="C11" s="442">
        <f>IF($A$7=$A$100,(SUMIFS('Historic Employment Monthly'!$B68:$BS68,'Historic Employment Monthly'!$B$79:$BS$79,2,'Historic Employment Monthly'!$B$80:$BS$80,VALUE(LEFT('Financial Year Employment'!C$7,4)))+SUMIFS('Historic Employment Monthly'!$B68:$BS68,'Historic Employment Monthly'!$B$79:$BS$79,1,'Historic Employment Monthly'!$B$80:$BS$80,VALUE(CONCATENATE("20",RIGHT('Financial Year Employment'!C$7,2)))))/2,(SUMIFS('Historic Employment Monthly'!$B157:$BS157,'Historic Employment Monthly'!$B$79:$BS$79,2,'Historic Employment Monthly'!$B$80:$BS$80,VALUE(LEFT('Financial Year Employment'!C$7,4)))+SUMIFS('Historic Employment Monthly'!$B157:$BS157,'Historic Employment Monthly'!$B$79:$BS$79,1,'Historic Employment Monthly'!$B$80:$BS$80,VALUE(CONCATENATE("20",RIGHT('Financial Year Employment'!C$7,2)))))/2)</f>
        <v>599.83333333333326</v>
      </c>
      <c r="D11" s="442">
        <f>IF($A$7=$A$100,(SUMIFS('Historic Employment Monthly'!$B68:$BS68,'Historic Employment Monthly'!$B$79:$BS$79,2,'Historic Employment Monthly'!$B$80:$BS$80,VALUE(LEFT('Financial Year Employment'!D$7,4)))+SUMIFS('Historic Employment Monthly'!$B68:$BS68,'Historic Employment Monthly'!$B$79:$BS$79,1,'Historic Employment Monthly'!$B$80:$BS$80,VALUE(CONCATENATE("20",RIGHT('Financial Year Employment'!D$7,2)))))/2,(SUMIFS('Historic Employment Monthly'!$B157:$BS157,'Historic Employment Monthly'!$B$79:$BS$79,2,'Historic Employment Monthly'!$B$80:$BS$80,VALUE(LEFT('Financial Year Employment'!D$7,4)))+SUMIFS('Historic Employment Monthly'!$B157:$BS157,'Historic Employment Monthly'!$B$79:$BS$79,1,'Historic Employment Monthly'!$B$80:$BS$80,VALUE(CONCATENATE("20",RIGHT('Financial Year Employment'!D$7,2)))))/2)</f>
        <v>308.58333333333337</v>
      </c>
      <c r="E11" s="442">
        <f>IF($A$7=$A$100,(SUMIFS('Historic Employment Monthly'!$B68:$BS68,'Historic Employment Monthly'!$B$79:$BS$79,2,'Historic Employment Monthly'!$B$80:$BS$80,VALUE(LEFT('Financial Year Employment'!E$7,4)))+SUMIFS('Historic Employment Monthly'!$B68:$BS68,'Historic Employment Monthly'!$B$79:$BS$79,1,'Historic Employment Monthly'!$B$80:$BS$80,VALUE(CONCATENATE("20",RIGHT('Financial Year Employment'!E$7,2)))))/2,(SUMIFS('Historic Employment Monthly'!$B157:$BS157,'Historic Employment Monthly'!$B$79:$BS$79,2,'Historic Employment Monthly'!$B$80:$BS$80,VALUE(LEFT('Financial Year Employment'!E$7,4)))+SUMIFS('Historic Employment Monthly'!$B157:$BS157,'Historic Employment Monthly'!$B$79:$BS$79,1,'Historic Employment Monthly'!$B$80:$BS$80,VALUE(CONCATENATE("20",RIGHT('Financial Year Employment'!E$7,2)))))/2)</f>
        <v>291.41666666666663</v>
      </c>
      <c r="F11" s="442">
        <f>IF($A$7=$A$100,(SUMIFS('Historic Employment Monthly'!$B68:$BS68,'Historic Employment Monthly'!$B$79:$BS$79,2,'Historic Employment Monthly'!$B$80:$BS$80,VALUE(LEFT('Financial Year Employment'!F$7,4)))+SUMIFS('Historic Employment Monthly'!$B68:$BS68,'Historic Employment Monthly'!$B$79:$BS$79,1,'Historic Employment Monthly'!$B$80:$BS$80,VALUE(CONCATENATE("20",RIGHT('Financial Year Employment'!F$7,2)))))/2,(SUMIFS('Historic Employment Monthly'!$B157:$BS157,'Historic Employment Monthly'!$B$79:$BS$79,2,'Historic Employment Monthly'!$B$80:$BS$80,VALUE(LEFT('Financial Year Employment'!F$7,4)))+SUMIFS('Historic Employment Monthly'!$B157:$BS157,'Historic Employment Monthly'!$B$79:$BS$79,1,'Historic Employment Monthly'!$B$80:$BS$80,VALUE(CONCATENATE("20",RIGHT('Financial Year Employment'!F$7,2)))))/2)</f>
        <v>322.16666666666663</v>
      </c>
      <c r="G11" s="442">
        <f>IF($A$7=$A$100,(SUMIFS('Historic Employment Monthly'!$B68:$BS68,'Historic Employment Monthly'!$B$79:$BS$79,2,'Historic Employment Monthly'!$B$80:$BS$80,VALUE(LEFT('Financial Year Employment'!G$7,4)))+SUMIFS('Historic Employment Monthly'!$B68:$BS68,'Historic Employment Monthly'!$B$79:$BS$79,1,'Historic Employment Monthly'!$B$80:$BS$80,VALUE(CONCATENATE("20",RIGHT('Financial Year Employment'!G$7,2)))))/2,(SUMIFS('Historic Employment Monthly'!$B157:$BS157,'Historic Employment Monthly'!$B$79:$BS$79,2,'Historic Employment Monthly'!$B$80:$BS$80,VALUE(LEFT('Financial Year Employment'!G$7,4)))+SUMIFS('Historic Employment Monthly'!$B157:$BS157,'Historic Employment Monthly'!$B$79:$BS$79,1,'Historic Employment Monthly'!$B$80:$BS$80,VALUE(CONCATENATE("20",RIGHT('Financial Year Employment'!G$7,2)))))/2)</f>
        <v>372.16666666666669</v>
      </c>
      <c r="H11" s="442">
        <f>IF($A$7=$A$100,(SUMIFS('Historic Employment Monthly'!$B68:$BS68,'Historic Employment Monthly'!$B$79:$BS$79,2,'Historic Employment Monthly'!$B$80:$BS$80,VALUE(LEFT('Financial Year Employment'!H$7,4)))+SUMIFS('Historic Employment Monthly'!$B68:$BS68,'Historic Employment Monthly'!$B$79:$BS$79,1,'Historic Employment Monthly'!$B$80:$BS$80,VALUE(CONCATENATE("20",RIGHT('Financial Year Employment'!H$7,2)))))/2,(SUMIFS('Historic Employment Monthly'!$B157:$BS157,'Historic Employment Monthly'!$B$79:$BS$79,2,'Historic Employment Monthly'!$B$80:$BS$80,VALUE(LEFT('Financial Year Employment'!H$7,4)))+SUMIFS('Historic Employment Monthly'!$B157:$BS157,'Historic Employment Monthly'!$B$79:$BS$79,1,'Historic Employment Monthly'!$B$80:$BS$80,VALUE(CONCATENATE("20",RIGHT('Financial Year Employment'!H$7,2)))))/2)</f>
        <v>467.66666666666669</v>
      </c>
      <c r="I11" s="442">
        <f>IF($A$7=$A$100,(SUMIFS('Historic Employment Monthly'!$B68:$BS68,'Historic Employment Monthly'!$B$79:$BS$79,2,'Historic Employment Monthly'!$B$80:$BS$80,VALUE(LEFT('Financial Year Employment'!I$7,4)))+SUMIFS('Historic Employment Monthly'!$B68:$BS68,'Historic Employment Monthly'!$B$79:$BS$79,1,'Historic Employment Monthly'!$B$80:$BS$80,VALUE(CONCATENATE("20",RIGHT('Financial Year Employment'!I$7,2)))))/2,(SUMIFS('Historic Employment Monthly'!$B157:$BS157,'Historic Employment Monthly'!$B$79:$BS$79,2,'Historic Employment Monthly'!$B$80:$BS$80,VALUE(LEFT('Financial Year Employment'!I$7,4)))+SUMIFS('Historic Employment Monthly'!$B157:$BS157,'Historic Employment Monthly'!$B$79:$BS$79,1,'Historic Employment Monthly'!$B$80:$BS$80,VALUE(CONCATENATE("20",RIGHT('Financial Year Employment'!I$7,2)))))/2)</f>
        <v>575.08333333333337</v>
      </c>
      <c r="J11" s="442">
        <f>IF($A$7=$A$100,(SUMIFS('Historic Employment Monthly'!$B68:$BS68,'Historic Employment Monthly'!$B$79:$BS$79,2,'Historic Employment Monthly'!$B$80:$BS$80,VALUE(LEFT('Financial Year Employment'!J$7,4)))+SUMIFS('Historic Employment Monthly'!$B68:$BS68,'Historic Employment Monthly'!$B$79:$BS$79,1,'Historic Employment Monthly'!$B$80:$BS$80,VALUE(CONCATENATE("20",RIGHT('Financial Year Employment'!J$7,2)))))/2,(SUMIFS('Historic Employment Monthly'!$B157:$BS157,'Historic Employment Monthly'!$B$79:$BS$79,2,'Historic Employment Monthly'!$B$80:$BS$80,VALUE(LEFT('Financial Year Employment'!J$7,4)))+SUMIFS('Historic Employment Monthly'!$B157:$BS157,'Historic Employment Monthly'!$B$79:$BS$79,1,'Historic Employment Monthly'!$B$80:$BS$80,VALUE(CONCATENATE("20",RIGHT('Financial Year Employment'!J$7,2)))))/2)</f>
        <v>601.33333333333326</v>
      </c>
      <c r="K11" s="442">
        <f>IF($A$7=$A$100,(SUMIFS('Historic Employment Monthly'!$B68:$BS68,'Historic Employment Monthly'!$B$79:$BS$79,2,'Historic Employment Monthly'!$B$80:$BS$80,VALUE(LEFT('Financial Year Employment'!K$7,4)))+SUMIFS('Historic Employment Monthly'!$B68:$BS68,'Historic Employment Monthly'!$B$79:$BS$79,1,'Historic Employment Monthly'!$B$80:$BS$80,VALUE(CONCATENATE("20",RIGHT('Financial Year Employment'!K$7,2)))))/2,(SUMIFS('Historic Employment Monthly'!$B157:$BS157,'Historic Employment Monthly'!$B$79:$BS$79,2,'Historic Employment Monthly'!$B$80:$BS$80,VALUE(LEFT('Financial Year Employment'!K$7,4)))+SUMIFS('Historic Employment Monthly'!$B157:$BS157,'Historic Employment Monthly'!$B$79:$BS$79,1,'Historic Employment Monthly'!$B$80:$BS$80,VALUE(CONCATENATE("20",RIGHT('Financial Year Employment'!K$7,2)))))/2)</f>
        <v>577.58333333333326</v>
      </c>
      <c r="L11" s="442">
        <f>IF($A$7=$A$100,(SUMIFS('Historic Employment Monthly'!$B68:$BS68,'Historic Employment Monthly'!$B$79:$BS$79,2,'Historic Employment Monthly'!$B$80:$BS$80,VALUE(LEFT('Financial Year Employment'!L$7,4)))+SUMIFS('Historic Employment Monthly'!$B68:$BS68,'Historic Employment Monthly'!$B$79:$BS$79,1,'Historic Employment Monthly'!$B$80:$BS$80,VALUE(CONCATENATE("20",RIGHT('Financial Year Employment'!L$7,2)))))/2,(SUMIFS('Historic Employment Monthly'!$B157:$BS157,'Historic Employment Monthly'!$B$79:$BS$79,2,'Historic Employment Monthly'!$B$80:$BS$80,VALUE(LEFT('Financial Year Employment'!L$7,4)))+SUMIFS('Historic Employment Monthly'!$B157:$BS157,'Historic Employment Monthly'!$B$79:$BS$79,1,'Historic Employment Monthly'!$B$80:$BS$80,VALUE(CONCATENATE("20",RIGHT('Financial Year Employment'!L$7,2)))))/2)</f>
        <v>697.33333333333326</v>
      </c>
      <c r="M11" s="442">
        <f>IF($A$7=$A$100,(SUMIFS('Historic Employment Monthly'!$B68:$BS68,'Historic Employment Monthly'!$B$79:$BS$79,2,'Historic Employment Monthly'!$B$80:$BS$80,VALUE(LEFT('Financial Year Employment'!M$7,4)))+SUMIFS('Historic Employment Monthly'!$B68:$BS68,'Historic Employment Monthly'!$B$79:$BS$79,1,'Historic Employment Monthly'!$B$80:$BS$80,VALUE(CONCATENATE("20",RIGHT('Financial Year Employment'!M$7,2)))))/2,(SUMIFS('Historic Employment Monthly'!$B157:$BS157,'Historic Employment Monthly'!$B$79:$BS$79,2,'Historic Employment Monthly'!$B$80:$BS$80,VALUE(LEFT('Financial Year Employment'!M$7,4)))+SUMIFS('Historic Employment Monthly'!$B157:$BS157,'Historic Employment Monthly'!$B$79:$BS$79,1,'Historic Employment Monthly'!$B$80:$BS$80,VALUE(CONCATENATE("20",RIGHT('Financial Year Employment'!M$7,2)))))/2)</f>
        <v>933.83333333333337</v>
      </c>
      <c r="N11" s="442">
        <f>IF($A$7=$A$100,(SUMIFS('Historic Employment Monthly'!$B68:$BS68,'Historic Employment Monthly'!$B$79:$BS$79,2,'Historic Employment Monthly'!$B$80:$BS$80,VALUE(LEFT('Financial Year Employment'!N$7,4)))+SUMIFS('Historic Employment Monthly'!$B68:$BS68,'Historic Employment Monthly'!$B$79:$BS$79,1,'Historic Employment Monthly'!$B$80:$BS$80,VALUE(CONCATENATE("20",RIGHT('Financial Year Employment'!N$7,2)))))/2,(SUMIFS('Historic Employment Monthly'!$B157:$BS157,'Historic Employment Monthly'!$B$79:$BS$79,2,'Historic Employment Monthly'!$B$80:$BS$80,VALUE(LEFT('Financial Year Employment'!N$7,4)))+SUMIFS('Historic Employment Monthly'!$B157:$BS157,'Historic Employment Monthly'!$B$79:$BS$79,1,'Historic Employment Monthly'!$B$80:$BS$80,VALUE(CONCATENATE("20",RIGHT('Financial Year Employment'!N$7,2)))))/2)</f>
        <v>924.58333333333337</v>
      </c>
      <c r="O11" s="442">
        <f>IF($A$7=$A$100,(SUMIFS('Historic Employment Monthly'!$B68:$BS68,'Historic Employment Monthly'!$B$79:$BS$79,2,'Historic Employment Monthly'!$B$80:$BS$80,VALUE(LEFT('Financial Year Employment'!O$7,4)))+SUMIFS('Historic Employment Monthly'!$B68:$BS68,'Historic Employment Monthly'!$B$79:$BS$79,1,'Historic Employment Monthly'!$B$80:$BS$80,VALUE(CONCATENATE("20",RIGHT('Financial Year Employment'!O$7,2)))))/2,(SUMIFS('Historic Employment Monthly'!$B157:$BS157,'Historic Employment Monthly'!$B$79:$BS$79,2,'Historic Employment Monthly'!$B$80:$BS$80,VALUE(LEFT('Financial Year Employment'!O$7,4)))+SUMIFS('Historic Employment Monthly'!$B157:$BS157,'Historic Employment Monthly'!$B$79:$BS$79,1,'Historic Employment Monthly'!$B$80:$BS$80,VALUE(CONCATENATE("20",RIGHT('Financial Year Employment'!O$7,2)))))/2)</f>
        <v>1030.3333333333333</v>
      </c>
      <c r="P11" s="442">
        <f>IF($A$7=$A$100,(SUMIFS('Historic Employment Monthly'!$B68:$BS68,'Historic Employment Monthly'!$B$79:$BS$79,2,'Historic Employment Monthly'!$B$80:$BS$80,VALUE(LEFT('Financial Year Employment'!P$7,4)))+SUMIFS('Historic Employment Monthly'!$B68:$BS68,'Historic Employment Monthly'!$B$79:$BS$79,1,'Historic Employment Monthly'!$B$80:$BS$80,VALUE(CONCATENATE("20",RIGHT('Financial Year Employment'!P$7,2)))))/2,(SUMIFS('Historic Employment Monthly'!$B157:$BS157,'Historic Employment Monthly'!$B$79:$BS$79,2,'Historic Employment Monthly'!$B$80:$BS$80,VALUE(LEFT('Financial Year Employment'!P$7,4)))+SUMIFS('Historic Employment Monthly'!$B157:$BS157,'Historic Employment Monthly'!$B$79:$BS$79,1,'Historic Employment Monthly'!$B$80:$BS$80,VALUE(CONCATENATE("20",RIGHT('Financial Year Employment'!P$7,2)))))/2)</f>
        <v>1454.25</v>
      </c>
      <c r="Q11" s="353">
        <f>IF($A$7=$A$100,(SUMIFS('Historic Employment Monthly'!$B68:$BS68,'Historic Employment Monthly'!$B$79:$BS$79,2,'Historic Employment Monthly'!$B$80:$BS$80,VALUE(LEFT('Financial Year Employment'!Q$7,4)))+SUMIFS('Historic Employment Monthly'!$B68:$BS68,'Historic Employment Monthly'!$B$79:$BS$79,1,'Historic Employment Monthly'!$B$80:$BS$80,VALUE(CONCATENATE("20",RIGHT('Financial Year Employment'!Q$7,2)))))/2,(SUMIFS('Historic Employment Monthly'!$B157:$BS157,'Historic Employment Monthly'!$B$79:$BS$79,2,'Historic Employment Monthly'!$B$80:$BS$80,VALUE(LEFT('Financial Year Employment'!Q$7,4)))+SUMIFS('Historic Employment Monthly'!$B157:$BS157,'Historic Employment Monthly'!$B$79:$BS$79,1,'Historic Employment Monthly'!$B$80:$BS$80,VALUE(CONCATENATE("20",RIGHT('Financial Year Employment'!Q$7,2)))))/2)</f>
        <v>1590.5833333333335</v>
      </c>
      <c r="S11" s="229"/>
      <c r="T11" s="228"/>
      <c r="U11" s="229"/>
    </row>
    <row r="12" spans="1:71" s="184" customFormat="1">
      <c r="A12" s="159" t="s">
        <v>185</v>
      </c>
      <c r="B12" s="349"/>
      <c r="C12" s="348">
        <f>IF($A$7=$A$100,(SUMIFS('Historic Employment Monthly'!$B69:$BS69,'Historic Employment Monthly'!$B$79:$BS$79,2,'Historic Employment Monthly'!$B$80:$BS$80,VALUE(LEFT('Financial Year Employment'!C$7,4)))+SUMIFS('Historic Employment Monthly'!$B69:$BS69,'Historic Employment Monthly'!$B$79:$BS$79,1,'Historic Employment Monthly'!$B$80:$BS$80,VALUE(CONCATENATE("20",RIGHT('Financial Year Employment'!C$7,2)))))/2,(SUMIFS('Historic Employment Monthly'!$B158:$BS158,'Historic Employment Monthly'!$B$79:$BS$79,2,'Historic Employment Monthly'!$B$80:$BS$80,VALUE(LEFT('Financial Year Employment'!C$7,4)))+SUMIFS('Historic Employment Monthly'!$B158:$BS158,'Historic Employment Monthly'!$B$79:$BS$79,1,'Historic Employment Monthly'!$B$80:$BS$80,VALUE(CONCATENATE("20",RIGHT('Financial Year Employment'!C$7,2)))))/2)</f>
        <v>1059.8333333333335</v>
      </c>
      <c r="D12" s="348">
        <f>IF($A$7=$A$100,(SUMIFS('Historic Employment Monthly'!$B69:$BS69,'Historic Employment Monthly'!$B$79:$BS$79,2,'Historic Employment Monthly'!$B$80:$BS$80,VALUE(LEFT('Financial Year Employment'!D$7,4)))+SUMIFS('Historic Employment Monthly'!$B69:$BS69,'Historic Employment Monthly'!$B$79:$BS$79,1,'Historic Employment Monthly'!$B$80:$BS$80,VALUE(CONCATENATE("20",RIGHT('Financial Year Employment'!D$7,2)))))/2,(SUMIFS('Historic Employment Monthly'!$B158:$BS158,'Historic Employment Monthly'!$B$79:$BS$79,2,'Historic Employment Monthly'!$B$80:$BS$80,VALUE(LEFT('Financial Year Employment'!D$7,4)))+SUMIFS('Historic Employment Monthly'!$B158:$BS158,'Historic Employment Monthly'!$B$79:$BS$79,1,'Historic Employment Monthly'!$B$80:$BS$80,VALUE(CONCATENATE("20",RIGHT('Financial Year Employment'!D$7,2)))))/2)</f>
        <v>1094.75</v>
      </c>
      <c r="E12" s="348">
        <f>IF($A$7=$A$100,(SUMIFS('Historic Employment Monthly'!$B69:$BS69,'Historic Employment Monthly'!$B$79:$BS$79,2,'Historic Employment Monthly'!$B$80:$BS$80,VALUE(LEFT('Financial Year Employment'!E$7,4)))+SUMIFS('Historic Employment Monthly'!$B69:$BS69,'Historic Employment Monthly'!$B$79:$BS$79,1,'Historic Employment Monthly'!$B$80:$BS$80,VALUE(CONCATENATE("20",RIGHT('Financial Year Employment'!E$7,2)))))/2,(SUMIFS('Historic Employment Monthly'!$B158:$BS158,'Historic Employment Monthly'!$B$79:$BS$79,2,'Historic Employment Monthly'!$B$80:$BS$80,VALUE(LEFT('Financial Year Employment'!E$7,4)))+SUMIFS('Historic Employment Monthly'!$B158:$BS158,'Historic Employment Monthly'!$B$79:$BS$79,1,'Historic Employment Monthly'!$B$80:$BS$80,VALUE(CONCATENATE("20",RIGHT('Financial Year Employment'!E$7,2)))))/2)</f>
        <v>1213.3333333333335</v>
      </c>
      <c r="F12" s="348">
        <f>IF($A$7=$A$100,(SUMIFS('Historic Employment Monthly'!$B69:$BS69,'Historic Employment Monthly'!$B$79:$BS$79,2,'Historic Employment Monthly'!$B$80:$BS$80,VALUE(LEFT('Financial Year Employment'!F$7,4)))+SUMIFS('Historic Employment Monthly'!$B69:$BS69,'Historic Employment Monthly'!$B$79:$BS$79,1,'Historic Employment Monthly'!$B$80:$BS$80,VALUE(CONCATENATE("20",RIGHT('Financial Year Employment'!F$7,2)))))/2,(SUMIFS('Historic Employment Monthly'!$B158:$BS158,'Historic Employment Monthly'!$B$79:$BS$79,2,'Historic Employment Monthly'!$B$80:$BS$80,VALUE(LEFT('Financial Year Employment'!F$7,4)))+SUMIFS('Historic Employment Monthly'!$B158:$BS158,'Historic Employment Monthly'!$B$79:$BS$79,1,'Historic Employment Monthly'!$B$80:$BS$80,VALUE(CONCATENATE("20",RIGHT('Financial Year Employment'!F$7,2)))))/2)</f>
        <v>1484</v>
      </c>
      <c r="G12" s="348">
        <f>IF($A$7=$A$100,(SUMIFS('Historic Employment Monthly'!$B69:$BS69,'Historic Employment Monthly'!$B$79:$BS$79,2,'Historic Employment Monthly'!$B$80:$BS$80,VALUE(LEFT('Financial Year Employment'!G$7,4)))+SUMIFS('Historic Employment Monthly'!$B69:$BS69,'Historic Employment Monthly'!$B$79:$BS$79,1,'Historic Employment Monthly'!$B$80:$BS$80,VALUE(CONCATENATE("20",RIGHT('Financial Year Employment'!G$7,2)))))/2,(SUMIFS('Historic Employment Monthly'!$B158:$BS158,'Historic Employment Monthly'!$B$79:$BS$79,2,'Historic Employment Monthly'!$B$80:$BS$80,VALUE(LEFT('Financial Year Employment'!G$7,4)))+SUMIFS('Historic Employment Monthly'!$B158:$BS158,'Historic Employment Monthly'!$B$79:$BS$79,1,'Historic Employment Monthly'!$B$80:$BS$80,VALUE(CONCATENATE("20",RIGHT('Financial Year Employment'!G$7,2)))))/2)</f>
        <v>1483.3333333333335</v>
      </c>
      <c r="H12" s="348">
        <f>IF($A$7=$A$100,(SUMIFS('Historic Employment Monthly'!$B69:$BS69,'Historic Employment Monthly'!$B$79:$BS$79,2,'Historic Employment Monthly'!$B$80:$BS$80,VALUE(LEFT('Financial Year Employment'!H$7,4)))+SUMIFS('Historic Employment Monthly'!$B69:$BS69,'Historic Employment Monthly'!$B$79:$BS$79,1,'Historic Employment Monthly'!$B$80:$BS$80,VALUE(CONCATENATE("20",RIGHT('Financial Year Employment'!H$7,2)))))/2,(SUMIFS('Historic Employment Monthly'!$B158:$BS158,'Historic Employment Monthly'!$B$79:$BS$79,2,'Historic Employment Monthly'!$B$80:$BS$80,VALUE(LEFT('Financial Year Employment'!H$7,4)))+SUMIFS('Historic Employment Monthly'!$B158:$BS158,'Historic Employment Monthly'!$B$79:$BS$79,1,'Historic Employment Monthly'!$B$80:$BS$80,VALUE(CONCATENATE("20",RIGHT('Financial Year Employment'!H$7,2)))))/2)</f>
        <v>1719.25</v>
      </c>
      <c r="I12" s="441">
        <f>IF($A$7=$A$100,(SUMIFS('Historic Employment Monthly'!$B69:$BS69,'Historic Employment Monthly'!$B$79:$BS$79,2,'Historic Employment Monthly'!$B$80:$BS$80,VALUE(LEFT('Financial Year Employment'!I$7,4)))+SUMIFS('Historic Employment Monthly'!$B69:$BS69,'Historic Employment Monthly'!$B$79:$BS$79,1,'Historic Employment Monthly'!$B$80:$BS$80,VALUE(CONCATENATE("20",RIGHT('Financial Year Employment'!I$7,2)))))/2,(SUMIFS('Historic Employment Monthly'!$B158:$BS158,'Historic Employment Monthly'!$B$79:$BS$79,2,'Historic Employment Monthly'!$B$80:$BS$80,VALUE(LEFT('Financial Year Employment'!I$7,4)))+SUMIFS('Historic Employment Monthly'!$B158:$BS158,'Historic Employment Monthly'!$B$79:$BS$79,1,'Historic Employment Monthly'!$B$80:$BS$80,VALUE(CONCATENATE("20",RIGHT('Financial Year Employment'!I$7,2)))))/2)</f>
        <v>2091.3333333333335</v>
      </c>
      <c r="J12" s="441">
        <f>IF($A$7=$A$100,(SUMIFS('Historic Employment Monthly'!$B69:$BS69,'Historic Employment Monthly'!$B$79:$BS$79,2,'Historic Employment Monthly'!$B$80:$BS$80,VALUE(LEFT('Financial Year Employment'!J$7,4)))+SUMIFS('Historic Employment Monthly'!$B69:$BS69,'Historic Employment Monthly'!$B$79:$BS$79,1,'Historic Employment Monthly'!$B$80:$BS$80,VALUE(CONCATENATE("20",RIGHT('Financial Year Employment'!J$7,2)))))/2,(SUMIFS('Historic Employment Monthly'!$B158:$BS158,'Historic Employment Monthly'!$B$79:$BS$79,2,'Historic Employment Monthly'!$B$80:$BS$80,VALUE(LEFT('Financial Year Employment'!J$7,4)))+SUMIFS('Historic Employment Monthly'!$B158:$BS158,'Historic Employment Monthly'!$B$79:$BS$79,1,'Historic Employment Monthly'!$B$80:$BS$80,VALUE(CONCATENATE("20",RIGHT('Financial Year Employment'!J$7,2)))))/2)</f>
        <v>1871.1666666666665</v>
      </c>
      <c r="K12" s="441">
        <f>IF($A$7=$A$100,(SUMIFS('Historic Employment Monthly'!$B69:$BS69,'Historic Employment Monthly'!$B$79:$BS$79,2,'Historic Employment Monthly'!$B$80:$BS$80,VALUE(LEFT('Financial Year Employment'!K$7,4)))+SUMIFS('Historic Employment Monthly'!$B69:$BS69,'Historic Employment Monthly'!$B$79:$BS$79,1,'Historic Employment Monthly'!$B$80:$BS$80,VALUE(CONCATENATE("20",RIGHT('Financial Year Employment'!K$7,2)))))/2,(SUMIFS('Historic Employment Monthly'!$B158:$BS158,'Historic Employment Monthly'!$B$79:$BS$79,2,'Historic Employment Monthly'!$B$80:$BS$80,VALUE(LEFT('Financial Year Employment'!K$7,4)))+SUMIFS('Historic Employment Monthly'!$B158:$BS158,'Historic Employment Monthly'!$B$79:$BS$79,1,'Historic Employment Monthly'!$B$80:$BS$80,VALUE(CONCATENATE("20",RIGHT('Financial Year Employment'!K$7,2)))))/2)</f>
        <v>1335.8333333333335</v>
      </c>
      <c r="L12" s="441">
        <f>IF($A$7=$A$100,(SUMIFS('Historic Employment Monthly'!$B69:$BS69,'Historic Employment Monthly'!$B$79:$BS$79,2,'Historic Employment Monthly'!$B$80:$BS$80,VALUE(LEFT('Financial Year Employment'!L$7,4)))+SUMIFS('Historic Employment Monthly'!$B69:$BS69,'Historic Employment Monthly'!$B$79:$BS$79,1,'Historic Employment Monthly'!$B$80:$BS$80,VALUE(CONCATENATE("20",RIGHT('Financial Year Employment'!L$7,2)))))/2,(SUMIFS('Historic Employment Monthly'!$B158:$BS158,'Historic Employment Monthly'!$B$79:$BS$79,2,'Historic Employment Monthly'!$B$80:$BS$80,VALUE(LEFT('Financial Year Employment'!L$7,4)))+SUMIFS('Historic Employment Monthly'!$B158:$BS158,'Historic Employment Monthly'!$B$79:$BS$79,1,'Historic Employment Monthly'!$B$80:$BS$80,VALUE(CONCATENATE("20",RIGHT('Financial Year Employment'!L$7,2)))))/2)</f>
        <v>1686.1666666666665</v>
      </c>
      <c r="M12" s="441">
        <f>IF($A$7=$A$100,(SUMIFS('Historic Employment Monthly'!$B69:$BS69,'Historic Employment Monthly'!$B$79:$BS$79,2,'Historic Employment Monthly'!$B$80:$BS$80,VALUE(LEFT('Financial Year Employment'!M$7,4)))+SUMIFS('Historic Employment Monthly'!$B69:$BS69,'Historic Employment Monthly'!$B$79:$BS$79,1,'Historic Employment Monthly'!$B$80:$BS$80,VALUE(CONCATENATE("20",RIGHT('Financial Year Employment'!M$7,2)))))/2,(SUMIFS('Historic Employment Monthly'!$B158:$BS158,'Historic Employment Monthly'!$B$79:$BS$79,2,'Historic Employment Monthly'!$B$80:$BS$80,VALUE(LEFT('Financial Year Employment'!M$7,4)))+SUMIFS('Historic Employment Monthly'!$B158:$BS158,'Historic Employment Monthly'!$B$79:$BS$79,1,'Historic Employment Monthly'!$B$80:$BS$80,VALUE(CONCATENATE("20",RIGHT('Financial Year Employment'!M$7,2)))))/2)</f>
        <v>2233.333333333333</v>
      </c>
      <c r="N12" s="441">
        <f>IF($A$7=$A$100,(SUMIFS('Historic Employment Monthly'!$B69:$BS69,'Historic Employment Monthly'!$B$79:$BS$79,2,'Historic Employment Monthly'!$B$80:$BS$80,VALUE(LEFT('Financial Year Employment'!N$7,4)))+SUMIFS('Historic Employment Monthly'!$B69:$BS69,'Historic Employment Monthly'!$B$79:$BS$79,1,'Historic Employment Monthly'!$B$80:$BS$80,VALUE(CONCATENATE("20",RIGHT('Financial Year Employment'!N$7,2)))))/2,(SUMIFS('Historic Employment Monthly'!$B158:$BS158,'Historic Employment Monthly'!$B$79:$BS$79,2,'Historic Employment Monthly'!$B$80:$BS$80,VALUE(LEFT('Financial Year Employment'!N$7,4)))+SUMIFS('Historic Employment Monthly'!$B158:$BS158,'Historic Employment Monthly'!$B$79:$BS$79,1,'Historic Employment Monthly'!$B$80:$BS$80,VALUE(CONCATENATE("20",RIGHT('Financial Year Employment'!N$7,2)))))/2)</f>
        <v>2391</v>
      </c>
      <c r="O12" s="441">
        <f>IF($A$7=$A$100,(SUMIFS('Historic Employment Monthly'!$B69:$BS69,'Historic Employment Monthly'!$B$79:$BS$79,2,'Historic Employment Monthly'!$B$80:$BS$80,VALUE(LEFT('Financial Year Employment'!O$7,4)))+SUMIFS('Historic Employment Monthly'!$B69:$BS69,'Historic Employment Monthly'!$B$79:$BS$79,1,'Historic Employment Monthly'!$B$80:$BS$80,VALUE(CONCATENATE("20",RIGHT('Financial Year Employment'!O$7,2)))))/2,(SUMIFS('Historic Employment Monthly'!$B158:$BS158,'Historic Employment Monthly'!$B$79:$BS$79,2,'Historic Employment Monthly'!$B$80:$BS$80,VALUE(LEFT('Financial Year Employment'!O$7,4)))+SUMIFS('Historic Employment Monthly'!$B158:$BS158,'Historic Employment Monthly'!$B$79:$BS$79,1,'Historic Employment Monthly'!$B$80:$BS$80,VALUE(CONCATENATE("20",RIGHT('Financial Year Employment'!O$7,2)))))/2)</f>
        <v>1573.1666666666665</v>
      </c>
      <c r="P12" s="441">
        <f>IF($A$7=$A$100,(SUMIFS('Historic Employment Monthly'!$B69:$BS69,'Historic Employment Monthly'!$B$79:$BS$79,2,'Historic Employment Monthly'!$B$80:$BS$80,VALUE(LEFT('Financial Year Employment'!P$7,4)))+SUMIFS('Historic Employment Monthly'!$B69:$BS69,'Historic Employment Monthly'!$B$79:$BS$79,1,'Historic Employment Monthly'!$B$80:$BS$80,VALUE(CONCATENATE("20",RIGHT('Financial Year Employment'!P$7,2)))))/2,(SUMIFS('Historic Employment Monthly'!$B158:$BS158,'Historic Employment Monthly'!$B$79:$BS$79,2,'Historic Employment Monthly'!$B$80:$BS$80,VALUE(LEFT('Financial Year Employment'!P$7,4)))+SUMIFS('Historic Employment Monthly'!$B158:$BS158,'Historic Employment Monthly'!$B$79:$BS$79,1,'Historic Employment Monthly'!$B$80:$BS$80,VALUE(CONCATENATE("20",RIGHT('Financial Year Employment'!P$7,2)))))/2)</f>
        <v>1412.5833333333335</v>
      </c>
      <c r="Q12" s="352">
        <f>IF($A$7=$A$100,(SUMIFS('Historic Employment Monthly'!$B69:$BS69,'Historic Employment Monthly'!$B$79:$BS$79,2,'Historic Employment Monthly'!$B$80:$BS$80,VALUE(LEFT('Financial Year Employment'!Q$7,4)))+SUMIFS('Historic Employment Monthly'!$B69:$BS69,'Historic Employment Monthly'!$B$79:$BS$79,1,'Historic Employment Monthly'!$B$80:$BS$80,VALUE(CONCATENATE("20",RIGHT('Financial Year Employment'!Q$7,2)))))/2,(SUMIFS('Historic Employment Monthly'!$B158:$BS158,'Historic Employment Monthly'!$B$79:$BS$79,2,'Historic Employment Monthly'!$B$80:$BS$80,VALUE(LEFT('Financial Year Employment'!Q$7,4)))+SUMIFS('Historic Employment Monthly'!$B158:$BS158,'Historic Employment Monthly'!$B$79:$BS$79,1,'Historic Employment Monthly'!$B$80:$BS$80,VALUE(CONCATENATE("20",RIGHT('Financial Year Employment'!Q$7,2)))))/2)</f>
        <v>988.25</v>
      </c>
      <c r="S12" s="229"/>
      <c r="T12" s="228"/>
      <c r="U12" s="229"/>
    </row>
    <row r="13" spans="1:71" s="184" customFormat="1">
      <c r="A13" s="159" t="s">
        <v>15</v>
      </c>
      <c r="B13" s="350"/>
      <c r="C13" s="442">
        <f>IF($A$7=$A$100,(SUMIFS('Historic Employment Monthly'!$B70:$BS70,'Historic Employment Monthly'!$B$79:$BS$79,2,'Historic Employment Monthly'!$B$80:$BS$80,VALUE(LEFT('Financial Year Employment'!C$7,4)))+SUMIFS('Historic Employment Monthly'!$B70:$BS70,'Historic Employment Monthly'!$B$79:$BS$79,1,'Historic Employment Monthly'!$B$80:$BS$80,VALUE(CONCATENATE("20",RIGHT('Financial Year Employment'!C$7,2)))))/2,(SUMIFS('Historic Employment Monthly'!$B159:$BS159,'Historic Employment Monthly'!$B$79:$BS$79,2,'Historic Employment Monthly'!$B$80:$BS$80,VALUE(LEFT('Financial Year Employment'!C$7,4)))+SUMIFS('Historic Employment Monthly'!$B159:$BS159,'Historic Employment Monthly'!$B$79:$BS$79,1,'Historic Employment Monthly'!$B$80:$BS$80,VALUE(CONCATENATE("20",RIGHT('Financial Year Employment'!C$7,2)))))/2)</f>
        <v>12542</v>
      </c>
      <c r="D13" s="442">
        <f>IF($A$7=$A$100,(SUMIFS('Historic Employment Monthly'!$B70:$BS70,'Historic Employment Monthly'!$B$79:$BS$79,2,'Historic Employment Monthly'!$B$80:$BS$80,VALUE(LEFT('Financial Year Employment'!D$7,4)))+SUMIFS('Historic Employment Monthly'!$B70:$BS70,'Historic Employment Monthly'!$B$79:$BS$79,1,'Historic Employment Monthly'!$B$80:$BS$80,VALUE(CONCATENATE("20",RIGHT('Financial Year Employment'!D$7,2)))))/2,(SUMIFS('Historic Employment Monthly'!$B159:$BS159,'Historic Employment Monthly'!$B$79:$BS$79,2,'Historic Employment Monthly'!$B$80:$BS$80,VALUE(LEFT('Financial Year Employment'!D$7,4)))+SUMIFS('Historic Employment Monthly'!$B159:$BS159,'Historic Employment Monthly'!$B$79:$BS$79,1,'Historic Employment Monthly'!$B$80:$BS$80,VALUE(CONCATENATE("20",RIGHT('Financial Year Employment'!D$7,2)))))/2)</f>
        <v>12788.083333333334</v>
      </c>
      <c r="E13" s="442">
        <f>IF($A$7=$A$100,(SUMIFS('Historic Employment Monthly'!$B70:$BS70,'Historic Employment Monthly'!$B$79:$BS$79,2,'Historic Employment Monthly'!$B$80:$BS$80,VALUE(LEFT('Financial Year Employment'!E$7,4)))+SUMIFS('Historic Employment Monthly'!$B70:$BS70,'Historic Employment Monthly'!$B$79:$BS$79,1,'Historic Employment Monthly'!$B$80:$BS$80,VALUE(CONCATENATE("20",RIGHT('Financial Year Employment'!E$7,2)))))/2,(SUMIFS('Historic Employment Monthly'!$B159:$BS159,'Historic Employment Monthly'!$B$79:$BS$79,2,'Historic Employment Monthly'!$B$80:$BS$80,VALUE(LEFT('Financial Year Employment'!E$7,4)))+SUMIFS('Historic Employment Monthly'!$B159:$BS159,'Historic Employment Monthly'!$B$79:$BS$79,1,'Historic Employment Monthly'!$B$80:$BS$80,VALUE(CONCATENATE("20",RIGHT('Financial Year Employment'!E$7,2)))))/2)</f>
        <v>13230.666666666668</v>
      </c>
      <c r="F13" s="442">
        <f>IF($A$7=$A$100,(SUMIFS('Historic Employment Monthly'!$B70:$BS70,'Historic Employment Monthly'!$B$79:$BS$79,2,'Historic Employment Monthly'!$B$80:$BS$80,VALUE(LEFT('Financial Year Employment'!F$7,4)))+SUMIFS('Historic Employment Monthly'!$B70:$BS70,'Historic Employment Monthly'!$B$79:$BS$79,1,'Historic Employment Monthly'!$B$80:$BS$80,VALUE(CONCATENATE("20",RIGHT('Financial Year Employment'!F$7,2)))))/2,(SUMIFS('Historic Employment Monthly'!$B159:$BS159,'Historic Employment Monthly'!$B$79:$BS$79,2,'Historic Employment Monthly'!$B$80:$BS$80,VALUE(LEFT('Financial Year Employment'!F$7,4)))+SUMIFS('Historic Employment Monthly'!$B159:$BS159,'Historic Employment Monthly'!$B$79:$BS$79,1,'Historic Employment Monthly'!$B$80:$BS$80,VALUE(CONCATENATE("20",RIGHT('Financial Year Employment'!F$7,2)))))/2)</f>
        <v>12580.166666666668</v>
      </c>
      <c r="G13" s="442">
        <f>IF($A$7=$A$100,(SUMIFS('Historic Employment Monthly'!$B70:$BS70,'Historic Employment Monthly'!$B$79:$BS$79,2,'Historic Employment Monthly'!$B$80:$BS$80,VALUE(LEFT('Financial Year Employment'!G$7,4)))+SUMIFS('Historic Employment Monthly'!$B70:$BS70,'Historic Employment Monthly'!$B$79:$BS$79,1,'Historic Employment Monthly'!$B$80:$BS$80,VALUE(CONCATENATE("20",RIGHT('Financial Year Employment'!G$7,2)))))/2,(SUMIFS('Historic Employment Monthly'!$B159:$BS159,'Historic Employment Monthly'!$B$79:$BS$79,2,'Historic Employment Monthly'!$B$80:$BS$80,VALUE(LEFT('Financial Year Employment'!G$7,4)))+SUMIFS('Historic Employment Monthly'!$B159:$BS159,'Historic Employment Monthly'!$B$79:$BS$79,1,'Historic Employment Monthly'!$B$80:$BS$80,VALUE(CONCATENATE("20",RIGHT('Financial Year Employment'!G$7,2)))))/2)</f>
        <v>12031.25</v>
      </c>
      <c r="H13" s="442">
        <f>IF($A$7=$A$100,(SUMIFS('Historic Employment Monthly'!$B70:$BS70,'Historic Employment Monthly'!$B$79:$BS$79,2,'Historic Employment Monthly'!$B$80:$BS$80,VALUE(LEFT('Financial Year Employment'!H$7,4)))+SUMIFS('Historic Employment Monthly'!$B70:$BS70,'Historic Employment Monthly'!$B$79:$BS$79,1,'Historic Employment Monthly'!$B$80:$BS$80,VALUE(CONCATENATE("20",RIGHT('Financial Year Employment'!H$7,2)))))/2,(SUMIFS('Historic Employment Monthly'!$B159:$BS159,'Historic Employment Monthly'!$B$79:$BS$79,2,'Historic Employment Monthly'!$B$80:$BS$80,VALUE(LEFT('Financial Year Employment'!H$7,4)))+SUMIFS('Historic Employment Monthly'!$B159:$BS159,'Historic Employment Monthly'!$B$79:$BS$79,1,'Historic Employment Monthly'!$B$80:$BS$80,VALUE(CONCATENATE("20",RIGHT('Financial Year Employment'!H$7,2)))))/2)</f>
        <v>13201.166666666668</v>
      </c>
      <c r="I13" s="442">
        <f>IF($A$7=$A$100,(SUMIFS('Historic Employment Monthly'!$B70:$BS70,'Historic Employment Monthly'!$B$79:$BS$79,2,'Historic Employment Monthly'!$B$80:$BS$80,VALUE(LEFT('Financial Year Employment'!I$7,4)))+SUMIFS('Historic Employment Monthly'!$B70:$BS70,'Historic Employment Monthly'!$B$79:$BS$79,1,'Historic Employment Monthly'!$B$80:$BS$80,VALUE(CONCATENATE("20",RIGHT('Financial Year Employment'!I$7,2)))))/2,(SUMIFS('Historic Employment Monthly'!$B159:$BS159,'Historic Employment Monthly'!$B$79:$BS$79,2,'Historic Employment Monthly'!$B$80:$BS$80,VALUE(LEFT('Financial Year Employment'!I$7,4)))+SUMIFS('Historic Employment Monthly'!$B159:$BS159,'Historic Employment Monthly'!$B$79:$BS$79,1,'Historic Employment Monthly'!$B$80:$BS$80,VALUE(CONCATENATE("20",RIGHT('Financial Year Employment'!I$7,2)))))/2)</f>
        <v>14044.583333333332</v>
      </c>
      <c r="J13" s="442">
        <f>IF($A$7=$A$100,(SUMIFS('Historic Employment Monthly'!$B70:$BS70,'Historic Employment Monthly'!$B$79:$BS$79,2,'Historic Employment Monthly'!$B$80:$BS$80,VALUE(LEFT('Financial Year Employment'!J$7,4)))+SUMIFS('Historic Employment Monthly'!$B70:$BS70,'Historic Employment Monthly'!$B$79:$BS$79,1,'Historic Employment Monthly'!$B$80:$BS$80,VALUE(CONCATENATE("20",RIGHT('Financial Year Employment'!J$7,2)))))/2,(SUMIFS('Historic Employment Monthly'!$B159:$BS159,'Historic Employment Monthly'!$B$79:$BS$79,2,'Historic Employment Monthly'!$B$80:$BS$80,VALUE(LEFT('Financial Year Employment'!J$7,4)))+SUMIFS('Historic Employment Monthly'!$B159:$BS159,'Historic Employment Monthly'!$B$79:$BS$79,1,'Historic Employment Monthly'!$B$80:$BS$80,VALUE(CONCATENATE("20",RIGHT('Financial Year Employment'!J$7,2)))))/2)</f>
        <v>15640.666666666668</v>
      </c>
      <c r="K13" s="442">
        <f>IF($A$7=$A$100,(SUMIFS('Historic Employment Monthly'!$B70:$BS70,'Historic Employment Monthly'!$B$79:$BS$79,2,'Historic Employment Monthly'!$B$80:$BS$80,VALUE(LEFT('Financial Year Employment'!K$7,4)))+SUMIFS('Historic Employment Monthly'!$B70:$BS70,'Historic Employment Monthly'!$B$79:$BS$79,1,'Historic Employment Monthly'!$B$80:$BS$80,VALUE(CONCATENATE("20",RIGHT('Financial Year Employment'!K$7,2)))))/2,(SUMIFS('Historic Employment Monthly'!$B159:$BS159,'Historic Employment Monthly'!$B$79:$BS$79,2,'Historic Employment Monthly'!$B$80:$BS$80,VALUE(LEFT('Financial Year Employment'!K$7,4)))+SUMIFS('Historic Employment Monthly'!$B159:$BS159,'Historic Employment Monthly'!$B$79:$BS$79,1,'Historic Employment Monthly'!$B$80:$BS$80,VALUE(CONCATENATE("20",RIGHT('Financial Year Employment'!K$7,2)))))/2)</f>
        <v>16973.75</v>
      </c>
      <c r="L13" s="442">
        <f>IF($A$7=$A$100,(SUMIFS('Historic Employment Monthly'!$B70:$BS70,'Historic Employment Monthly'!$B$79:$BS$79,2,'Historic Employment Monthly'!$B$80:$BS$80,VALUE(LEFT('Financial Year Employment'!L$7,4)))+SUMIFS('Historic Employment Monthly'!$B70:$BS70,'Historic Employment Monthly'!$B$79:$BS$79,1,'Historic Employment Monthly'!$B$80:$BS$80,VALUE(CONCATENATE("20",RIGHT('Financial Year Employment'!L$7,2)))))/2,(SUMIFS('Historic Employment Monthly'!$B159:$BS159,'Historic Employment Monthly'!$B$79:$BS$79,2,'Historic Employment Monthly'!$B$80:$BS$80,VALUE(LEFT('Financial Year Employment'!L$7,4)))+SUMIFS('Historic Employment Monthly'!$B159:$BS159,'Historic Employment Monthly'!$B$79:$BS$79,1,'Historic Employment Monthly'!$B$80:$BS$80,VALUE(CONCATENATE("20",RIGHT('Financial Year Employment'!L$7,2)))))/2)</f>
        <v>18955.75</v>
      </c>
      <c r="M13" s="442">
        <f>IF($A$7=$A$100,(SUMIFS('Historic Employment Monthly'!$B70:$BS70,'Historic Employment Monthly'!$B$79:$BS$79,2,'Historic Employment Monthly'!$B$80:$BS$80,VALUE(LEFT('Financial Year Employment'!M$7,4)))+SUMIFS('Historic Employment Monthly'!$B70:$BS70,'Historic Employment Monthly'!$B$79:$BS$79,1,'Historic Employment Monthly'!$B$80:$BS$80,VALUE(CONCATENATE("20",RIGHT('Financial Year Employment'!M$7,2)))))/2,(SUMIFS('Historic Employment Monthly'!$B159:$BS159,'Historic Employment Monthly'!$B$79:$BS$79,2,'Historic Employment Monthly'!$B$80:$BS$80,VALUE(LEFT('Financial Year Employment'!M$7,4)))+SUMIFS('Historic Employment Monthly'!$B159:$BS159,'Historic Employment Monthly'!$B$79:$BS$79,1,'Historic Employment Monthly'!$B$80:$BS$80,VALUE(CONCATENATE("20",RIGHT('Financial Year Employment'!M$7,2)))))/2)</f>
        <v>22387.166666666664</v>
      </c>
      <c r="N13" s="442">
        <f>IF($A$7=$A$100,(SUMIFS('Historic Employment Monthly'!$B70:$BS70,'Historic Employment Monthly'!$B$79:$BS$79,2,'Historic Employment Monthly'!$B$80:$BS$80,VALUE(LEFT('Financial Year Employment'!N$7,4)))+SUMIFS('Historic Employment Monthly'!$B70:$BS70,'Historic Employment Monthly'!$B$79:$BS$79,1,'Historic Employment Monthly'!$B$80:$BS$80,VALUE(CONCATENATE("20",RIGHT('Financial Year Employment'!N$7,2)))))/2,(SUMIFS('Historic Employment Monthly'!$B159:$BS159,'Historic Employment Monthly'!$B$79:$BS$79,2,'Historic Employment Monthly'!$B$80:$BS$80,VALUE(LEFT('Financial Year Employment'!N$7,4)))+SUMIFS('Historic Employment Monthly'!$B159:$BS159,'Historic Employment Monthly'!$B$79:$BS$79,1,'Historic Employment Monthly'!$B$80:$BS$80,VALUE(CONCATENATE("20",RIGHT('Financial Year Employment'!N$7,2)))))/2)</f>
        <v>22242.25</v>
      </c>
      <c r="O13" s="442">
        <f>IF($A$7=$A$100,(SUMIFS('Historic Employment Monthly'!$B70:$BS70,'Historic Employment Monthly'!$B$79:$BS$79,2,'Historic Employment Monthly'!$B$80:$BS$80,VALUE(LEFT('Financial Year Employment'!O$7,4)))+SUMIFS('Historic Employment Monthly'!$B70:$BS70,'Historic Employment Monthly'!$B$79:$BS$79,1,'Historic Employment Monthly'!$B$80:$BS$80,VALUE(CONCATENATE("20",RIGHT('Financial Year Employment'!O$7,2)))))/2,(SUMIFS('Historic Employment Monthly'!$B159:$BS159,'Historic Employment Monthly'!$B$79:$BS$79,2,'Historic Employment Monthly'!$B$80:$BS$80,VALUE(LEFT('Financial Year Employment'!O$7,4)))+SUMIFS('Historic Employment Monthly'!$B159:$BS159,'Historic Employment Monthly'!$B$79:$BS$79,1,'Historic Employment Monthly'!$B$80:$BS$80,VALUE(CONCATENATE("20",RIGHT('Financial Year Employment'!O$7,2)))))/2)</f>
        <v>18593</v>
      </c>
      <c r="P13" s="442">
        <f>IF($A$7=$A$100,(SUMIFS('Historic Employment Monthly'!$B70:$BS70,'Historic Employment Monthly'!$B$79:$BS$79,2,'Historic Employment Monthly'!$B$80:$BS$80,VALUE(LEFT('Financial Year Employment'!P$7,4)))+SUMIFS('Historic Employment Monthly'!$B70:$BS70,'Historic Employment Monthly'!$B$79:$BS$79,1,'Historic Employment Monthly'!$B$80:$BS$80,VALUE(CONCATENATE("20",RIGHT('Financial Year Employment'!P$7,2)))))/2,(SUMIFS('Historic Employment Monthly'!$B159:$BS159,'Historic Employment Monthly'!$B$79:$BS$79,2,'Historic Employment Monthly'!$B$80:$BS$80,VALUE(LEFT('Financial Year Employment'!P$7,4)))+SUMIFS('Historic Employment Monthly'!$B159:$BS159,'Historic Employment Monthly'!$B$79:$BS$79,1,'Historic Employment Monthly'!$B$80:$BS$80,VALUE(CONCATENATE("20",RIGHT('Financial Year Employment'!P$7,2)))))/2)</f>
        <v>19577.166666666664</v>
      </c>
      <c r="Q13" s="353">
        <f>IF($A$7=$A$100,(SUMIFS('Historic Employment Monthly'!$B70:$BS70,'Historic Employment Monthly'!$B$79:$BS$79,2,'Historic Employment Monthly'!$B$80:$BS$80,VALUE(LEFT('Financial Year Employment'!Q$7,4)))+SUMIFS('Historic Employment Monthly'!$B70:$BS70,'Historic Employment Monthly'!$B$79:$BS$79,1,'Historic Employment Monthly'!$B$80:$BS$80,VALUE(CONCATENATE("20",RIGHT('Financial Year Employment'!Q$7,2)))))/2,(SUMIFS('Historic Employment Monthly'!$B159:$BS159,'Historic Employment Monthly'!$B$79:$BS$79,2,'Historic Employment Monthly'!$B$80:$BS$80,VALUE(LEFT('Financial Year Employment'!Q$7,4)))+SUMIFS('Historic Employment Monthly'!$B159:$BS159,'Historic Employment Monthly'!$B$79:$BS$79,1,'Historic Employment Monthly'!$B$80:$BS$80,VALUE(CONCATENATE("20",RIGHT('Financial Year Employment'!Q$7,2)))))/2)</f>
        <v>23561.666666666668</v>
      </c>
      <c r="S13" s="229"/>
      <c r="T13" s="228"/>
      <c r="U13" s="229"/>
    </row>
    <row r="14" spans="1:71" s="184" customFormat="1">
      <c r="A14" s="159" t="s">
        <v>349</v>
      </c>
      <c r="B14" s="349"/>
      <c r="C14" s="348">
        <f>IF($A$7=$A$100,(SUMIFS('Historic Employment Monthly'!$B71:$BS71,'Historic Employment Monthly'!$B$79:$BS$79,2,'Historic Employment Monthly'!$B$80:$BS$80,VALUE(LEFT('Financial Year Employment'!C$7,4)))+SUMIFS('Historic Employment Monthly'!$B71:$BS71,'Historic Employment Monthly'!$B$79:$BS$79,1,'Historic Employment Monthly'!$B$80:$BS$80,VALUE(CONCATENATE("20",RIGHT('Financial Year Employment'!C$7,2)))))/2,(SUMIFS('Historic Employment Monthly'!$B160:$BS160,'Historic Employment Monthly'!$B$79:$BS$79,2,'Historic Employment Monthly'!$B$80:$BS$80,VALUE(LEFT('Financial Year Employment'!C$7,4)))+SUMIFS('Historic Employment Monthly'!$B160:$BS160,'Historic Employment Monthly'!$B$79:$BS$79,1,'Historic Employment Monthly'!$B$80:$BS$80,VALUE(CONCATENATE("20",RIGHT('Financial Year Employment'!C$7,2)))))/2)</f>
        <v>2244.416666666667</v>
      </c>
      <c r="D14" s="348">
        <f>IF($A$7=$A$100,(SUMIFS('Historic Employment Monthly'!$B71:$BS71,'Historic Employment Monthly'!$B$79:$BS$79,2,'Historic Employment Monthly'!$B$80:$BS$80,VALUE(LEFT('Financial Year Employment'!D$7,4)))+SUMIFS('Historic Employment Monthly'!$B71:$BS71,'Historic Employment Monthly'!$B$79:$BS$79,1,'Historic Employment Monthly'!$B$80:$BS$80,VALUE(CONCATENATE("20",RIGHT('Financial Year Employment'!D$7,2)))))/2,(SUMIFS('Historic Employment Monthly'!$B160:$BS160,'Historic Employment Monthly'!$B$79:$BS$79,2,'Historic Employment Monthly'!$B$80:$BS$80,VALUE(LEFT('Financial Year Employment'!D$7,4)))+SUMIFS('Historic Employment Monthly'!$B160:$BS160,'Historic Employment Monthly'!$B$79:$BS$79,1,'Historic Employment Monthly'!$B$80:$BS$80,VALUE(CONCATENATE("20",RIGHT('Financial Year Employment'!D$7,2)))))/2)</f>
        <v>2050.25</v>
      </c>
      <c r="E14" s="348">
        <f>IF($A$7=$A$100,(SUMIFS('Historic Employment Monthly'!$B71:$BS71,'Historic Employment Monthly'!$B$79:$BS$79,2,'Historic Employment Monthly'!$B$80:$BS$80,VALUE(LEFT('Financial Year Employment'!E$7,4)))+SUMIFS('Historic Employment Monthly'!$B71:$BS71,'Historic Employment Monthly'!$B$79:$BS$79,1,'Historic Employment Monthly'!$B$80:$BS$80,VALUE(CONCATENATE("20",RIGHT('Financial Year Employment'!E$7,2)))))/2,(SUMIFS('Historic Employment Monthly'!$B160:$BS160,'Historic Employment Monthly'!$B$79:$BS$79,2,'Historic Employment Monthly'!$B$80:$BS$80,VALUE(LEFT('Financial Year Employment'!E$7,4)))+SUMIFS('Historic Employment Monthly'!$B160:$BS160,'Historic Employment Monthly'!$B$79:$BS$79,1,'Historic Employment Monthly'!$B$80:$BS$80,VALUE(CONCATENATE("20",RIGHT('Financial Year Employment'!E$7,2)))))/2)</f>
        <v>2345.333333333333</v>
      </c>
      <c r="F14" s="348">
        <f>IF($A$7=$A$100,(SUMIFS('Historic Employment Monthly'!$B71:$BS71,'Historic Employment Monthly'!$B$79:$BS$79,2,'Historic Employment Monthly'!$B$80:$BS$80,VALUE(LEFT('Financial Year Employment'!F$7,4)))+SUMIFS('Historic Employment Monthly'!$B71:$BS71,'Historic Employment Monthly'!$B$79:$BS$79,1,'Historic Employment Monthly'!$B$80:$BS$80,VALUE(CONCATENATE("20",RIGHT('Financial Year Employment'!F$7,2)))))/2,(SUMIFS('Historic Employment Monthly'!$B160:$BS160,'Historic Employment Monthly'!$B$79:$BS$79,2,'Historic Employment Monthly'!$B$80:$BS$80,VALUE(LEFT('Financial Year Employment'!F$7,4)))+SUMIFS('Historic Employment Monthly'!$B160:$BS160,'Historic Employment Monthly'!$B$79:$BS$79,1,'Historic Employment Monthly'!$B$80:$BS$80,VALUE(CONCATENATE("20",RIGHT('Financial Year Employment'!F$7,2)))))/2)</f>
        <v>2530.916666666667</v>
      </c>
      <c r="G14" s="348">
        <f>IF($A$7=$A$100,(SUMIFS('Historic Employment Monthly'!$B71:$BS71,'Historic Employment Monthly'!$B$79:$BS$79,2,'Historic Employment Monthly'!$B$80:$BS$80,VALUE(LEFT('Financial Year Employment'!G$7,4)))+SUMIFS('Historic Employment Monthly'!$B71:$BS71,'Historic Employment Monthly'!$B$79:$BS$79,1,'Historic Employment Monthly'!$B$80:$BS$80,VALUE(CONCATENATE("20",RIGHT('Financial Year Employment'!G$7,2)))))/2,(SUMIFS('Historic Employment Monthly'!$B160:$BS160,'Historic Employment Monthly'!$B$79:$BS$79,2,'Historic Employment Monthly'!$B$80:$BS$80,VALUE(LEFT('Financial Year Employment'!G$7,4)))+SUMIFS('Historic Employment Monthly'!$B160:$BS160,'Historic Employment Monthly'!$B$79:$BS$79,1,'Historic Employment Monthly'!$B$80:$BS$80,VALUE(CONCATENATE("20",RIGHT('Financial Year Employment'!G$7,2)))))/2)</f>
        <v>2830.833333333333</v>
      </c>
      <c r="H14" s="348">
        <f>IF($A$7=$A$100,(SUMIFS('Historic Employment Monthly'!$B71:$BS71,'Historic Employment Monthly'!$B$79:$BS$79,2,'Historic Employment Monthly'!$B$80:$BS$80,VALUE(LEFT('Financial Year Employment'!H$7,4)))+SUMIFS('Historic Employment Monthly'!$B71:$BS71,'Historic Employment Monthly'!$B$79:$BS$79,1,'Historic Employment Monthly'!$B$80:$BS$80,VALUE(CONCATENATE("20",RIGHT('Financial Year Employment'!H$7,2)))))/2,(SUMIFS('Historic Employment Monthly'!$B160:$BS160,'Historic Employment Monthly'!$B$79:$BS$79,2,'Historic Employment Monthly'!$B$80:$BS$80,VALUE(LEFT('Financial Year Employment'!H$7,4)))+SUMIFS('Historic Employment Monthly'!$B160:$BS160,'Historic Employment Monthly'!$B$79:$BS$79,1,'Historic Employment Monthly'!$B$80:$BS$80,VALUE(CONCATENATE("20",RIGHT('Financial Year Employment'!H$7,2)))))/2)</f>
        <v>2877.75</v>
      </c>
      <c r="I14" s="441">
        <f>IF($A$7=$A$100,(SUMIFS('Historic Employment Monthly'!$B71:$BS71,'Historic Employment Monthly'!$B$79:$BS$79,2,'Historic Employment Monthly'!$B$80:$BS$80,VALUE(LEFT('Financial Year Employment'!I$7,4)))+SUMIFS('Historic Employment Monthly'!$B71:$BS71,'Historic Employment Monthly'!$B$79:$BS$79,1,'Historic Employment Monthly'!$B$80:$BS$80,VALUE(CONCATENATE("20",RIGHT('Financial Year Employment'!I$7,2)))))/2,(SUMIFS('Historic Employment Monthly'!$B160:$BS160,'Historic Employment Monthly'!$B$79:$BS$79,2,'Historic Employment Monthly'!$B$80:$BS$80,VALUE(LEFT('Financial Year Employment'!I$7,4)))+SUMIFS('Historic Employment Monthly'!$B160:$BS160,'Historic Employment Monthly'!$B$79:$BS$79,1,'Historic Employment Monthly'!$B$80:$BS$80,VALUE(CONCATENATE("20",RIGHT('Financial Year Employment'!I$7,2)))))/2)</f>
        <v>2722</v>
      </c>
      <c r="J14" s="441">
        <f>IF($A$7=$A$100,(SUMIFS('Historic Employment Monthly'!$B71:$BS71,'Historic Employment Monthly'!$B$79:$BS$79,2,'Historic Employment Monthly'!$B$80:$BS$80,VALUE(LEFT('Financial Year Employment'!J$7,4)))+SUMIFS('Historic Employment Monthly'!$B71:$BS71,'Historic Employment Monthly'!$B$79:$BS$79,1,'Historic Employment Monthly'!$B$80:$BS$80,VALUE(CONCATENATE("20",RIGHT('Financial Year Employment'!J$7,2)))))/2,(SUMIFS('Historic Employment Monthly'!$B160:$BS160,'Historic Employment Monthly'!$B$79:$BS$79,2,'Historic Employment Monthly'!$B$80:$BS$80,VALUE(LEFT('Financial Year Employment'!J$7,4)))+SUMIFS('Historic Employment Monthly'!$B160:$BS160,'Historic Employment Monthly'!$B$79:$BS$79,1,'Historic Employment Monthly'!$B$80:$BS$80,VALUE(CONCATENATE("20",RIGHT('Financial Year Employment'!J$7,2)))))/2)</f>
        <v>2479.583333333333</v>
      </c>
      <c r="K14" s="441">
        <f>IF($A$7=$A$100,(SUMIFS('Historic Employment Monthly'!$B71:$BS71,'Historic Employment Monthly'!$B$79:$BS$79,2,'Historic Employment Monthly'!$B$80:$BS$80,VALUE(LEFT('Financial Year Employment'!K$7,4)))+SUMIFS('Historic Employment Monthly'!$B71:$BS71,'Historic Employment Monthly'!$B$79:$BS$79,1,'Historic Employment Monthly'!$B$80:$BS$80,VALUE(CONCATENATE("20",RIGHT('Financial Year Employment'!K$7,2)))))/2,(SUMIFS('Historic Employment Monthly'!$B160:$BS160,'Historic Employment Monthly'!$B$79:$BS$79,2,'Historic Employment Monthly'!$B$80:$BS$80,VALUE(LEFT('Financial Year Employment'!K$7,4)))+SUMIFS('Historic Employment Monthly'!$B160:$BS160,'Historic Employment Monthly'!$B$79:$BS$79,1,'Historic Employment Monthly'!$B$80:$BS$80,VALUE(CONCATENATE("20",RIGHT('Financial Year Employment'!K$7,2)))))/2)</f>
        <v>1810.9166666666667</v>
      </c>
      <c r="L14" s="441">
        <f>IF($A$7=$A$100,(SUMIFS('Historic Employment Monthly'!$B71:$BS71,'Historic Employment Monthly'!$B$79:$BS$79,2,'Historic Employment Monthly'!$B$80:$BS$80,VALUE(LEFT('Financial Year Employment'!L$7,4)))+SUMIFS('Historic Employment Monthly'!$B71:$BS71,'Historic Employment Monthly'!$B$79:$BS$79,1,'Historic Employment Monthly'!$B$80:$BS$80,VALUE(CONCATENATE("20",RIGHT('Financial Year Employment'!L$7,2)))))/2,(SUMIFS('Historic Employment Monthly'!$B160:$BS160,'Historic Employment Monthly'!$B$79:$BS$79,2,'Historic Employment Monthly'!$B$80:$BS$80,VALUE(LEFT('Financial Year Employment'!L$7,4)))+SUMIFS('Historic Employment Monthly'!$B160:$BS160,'Historic Employment Monthly'!$B$79:$BS$79,1,'Historic Employment Monthly'!$B$80:$BS$80,VALUE(CONCATENATE("20",RIGHT('Financial Year Employment'!L$7,2)))))/2)</f>
        <v>1870.5833333333335</v>
      </c>
      <c r="M14" s="441">
        <f>IF($A$7=$A$100,(SUMIFS('Historic Employment Monthly'!$B71:$BS71,'Historic Employment Monthly'!$B$79:$BS$79,2,'Historic Employment Monthly'!$B$80:$BS$80,VALUE(LEFT('Financial Year Employment'!M$7,4)))+SUMIFS('Historic Employment Monthly'!$B71:$BS71,'Historic Employment Monthly'!$B$79:$BS$79,1,'Historic Employment Monthly'!$B$80:$BS$80,VALUE(CONCATENATE("20",RIGHT('Financial Year Employment'!M$7,2)))))/2,(SUMIFS('Historic Employment Monthly'!$B160:$BS160,'Historic Employment Monthly'!$B$79:$BS$79,2,'Historic Employment Monthly'!$B$80:$BS$80,VALUE(LEFT('Financial Year Employment'!M$7,4)))+SUMIFS('Historic Employment Monthly'!$B160:$BS160,'Historic Employment Monthly'!$B$79:$BS$79,1,'Historic Employment Monthly'!$B$80:$BS$80,VALUE(CONCATENATE("20",RIGHT('Financial Year Employment'!M$7,2)))))/2)</f>
        <v>2200.916666666667</v>
      </c>
      <c r="N14" s="441">
        <f>IF($A$7=$A$100,(SUMIFS('Historic Employment Monthly'!$B71:$BS71,'Historic Employment Monthly'!$B$79:$BS$79,2,'Historic Employment Monthly'!$B$80:$BS$80,VALUE(LEFT('Financial Year Employment'!N$7,4)))+SUMIFS('Historic Employment Monthly'!$B71:$BS71,'Historic Employment Monthly'!$B$79:$BS$79,1,'Historic Employment Monthly'!$B$80:$BS$80,VALUE(CONCATENATE("20",RIGHT('Financial Year Employment'!N$7,2)))))/2,(SUMIFS('Historic Employment Monthly'!$B160:$BS160,'Historic Employment Monthly'!$B$79:$BS$79,2,'Historic Employment Monthly'!$B$80:$BS$80,VALUE(LEFT('Financial Year Employment'!N$7,4)))+SUMIFS('Historic Employment Monthly'!$B160:$BS160,'Historic Employment Monthly'!$B$79:$BS$79,1,'Historic Employment Monthly'!$B$80:$BS$80,VALUE(CONCATENATE("20",RIGHT('Financial Year Employment'!N$7,2)))))/2)</f>
        <v>2408.3333333333335</v>
      </c>
      <c r="O14" s="441">
        <f>IF($A$7=$A$100,(SUMIFS('Historic Employment Monthly'!$B71:$BS71,'Historic Employment Monthly'!$B$79:$BS$79,2,'Historic Employment Monthly'!$B$80:$BS$80,VALUE(LEFT('Financial Year Employment'!O$7,4)))+SUMIFS('Historic Employment Monthly'!$B71:$BS71,'Historic Employment Monthly'!$B$79:$BS$79,1,'Historic Employment Monthly'!$B$80:$BS$80,VALUE(CONCATENATE("20",RIGHT('Financial Year Employment'!O$7,2)))))/2,(SUMIFS('Historic Employment Monthly'!$B160:$BS160,'Historic Employment Monthly'!$B$79:$BS$79,2,'Historic Employment Monthly'!$B$80:$BS$80,VALUE(LEFT('Financial Year Employment'!O$7,4)))+SUMIFS('Historic Employment Monthly'!$B160:$BS160,'Historic Employment Monthly'!$B$79:$BS$79,1,'Historic Employment Monthly'!$B$80:$BS$80,VALUE(CONCATENATE("20",RIGHT('Financial Year Employment'!O$7,2)))))/2)</f>
        <v>2302.333333333333</v>
      </c>
      <c r="P14" s="441">
        <f>IF($A$7=$A$100,(SUMIFS('Historic Employment Monthly'!$B71:$BS71,'Historic Employment Monthly'!$B$79:$BS$79,2,'Historic Employment Monthly'!$B$80:$BS$80,VALUE(LEFT('Financial Year Employment'!P$7,4)))+SUMIFS('Historic Employment Monthly'!$B71:$BS71,'Historic Employment Monthly'!$B$79:$BS$79,1,'Historic Employment Monthly'!$B$80:$BS$80,VALUE(CONCATENATE("20",RIGHT('Financial Year Employment'!P$7,2)))))/2,(SUMIFS('Historic Employment Monthly'!$B160:$BS160,'Historic Employment Monthly'!$B$79:$BS$79,2,'Historic Employment Monthly'!$B$80:$BS$80,VALUE(LEFT('Financial Year Employment'!P$7,4)))+SUMIFS('Historic Employment Monthly'!$B160:$BS160,'Historic Employment Monthly'!$B$79:$BS$79,1,'Historic Employment Monthly'!$B$80:$BS$80,VALUE(CONCATENATE("20",RIGHT('Financial Year Employment'!P$7,2)))))/2)</f>
        <v>2240.5</v>
      </c>
      <c r="Q14" s="352">
        <f>IF($A$7=$A$100,(SUMIFS('Historic Employment Monthly'!$B71:$BS71,'Historic Employment Monthly'!$B$79:$BS$79,2,'Historic Employment Monthly'!$B$80:$BS$80,VALUE(LEFT('Financial Year Employment'!Q$7,4)))+SUMIFS('Historic Employment Monthly'!$B71:$BS71,'Historic Employment Monthly'!$B$79:$BS$79,1,'Historic Employment Monthly'!$B$80:$BS$80,VALUE(CONCATENATE("20",RIGHT('Financial Year Employment'!Q$7,2)))))/2,(SUMIFS('Historic Employment Monthly'!$B160:$BS160,'Historic Employment Monthly'!$B$79:$BS$79,2,'Historic Employment Monthly'!$B$80:$BS$80,VALUE(LEFT('Financial Year Employment'!Q$7,4)))+SUMIFS('Historic Employment Monthly'!$B160:$BS160,'Historic Employment Monthly'!$B$79:$BS$79,1,'Historic Employment Monthly'!$B$80:$BS$80,VALUE(CONCATENATE("20",RIGHT('Financial Year Employment'!Q$7,2)))))/2)</f>
        <v>2335.75</v>
      </c>
      <c r="S14" s="229"/>
      <c r="T14" s="228"/>
      <c r="U14" s="229"/>
    </row>
    <row r="15" spans="1:71" s="184" customFormat="1">
      <c r="A15" s="159" t="s">
        <v>180</v>
      </c>
      <c r="B15" s="350"/>
      <c r="C15" s="442">
        <f>IF($A$7=$A$100,(SUMIFS('Historic Employment Monthly'!$B72:$BS72,'Historic Employment Monthly'!$B$79:$BS$79,2,'Historic Employment Monthly'!$B$80:$BS$80,VALUE(LEFT('Financial Year Employment'!C$7,4)))+SUMIFS('Historic Employment Monthly'!$B72:$BS72,'Historic Employment Monthly'!$B$79:$BS$79,1,'Historic Employment Monthly'!$B$80:$BS$80,VALUE(CONCATENATE("20",RIGHT('Financial Year Employment'!C$7,2)))))/2,(SUMIFS('Historic Employment Monthly'!$B161:$BS161,'Historic Employment Monthly'!$B$79:$BS$79,2,'Historic Employment Monthly'!$B$80:$BS$80,VALUE(LEFT('Financial Year Employment'!C$7,4)))+SUMIFS('Historic Employment Monthly'!$B161:$BS161,'Historic Employment Monthly'!$B$79:$BS$79,1,'Historic Employment Monthly'!$B$80:$BS$80,VALUE(CONCATENATE("20",RIGHT('Financial Year Employment'!C$7,2)))))/2)</f>
        <v>8638.3333333333321</v>
      </c>
      <c r="D15" s="442">
        <f>IF($A$7=$A$100,(SUMIFS('Historic Employment Monthly'!$B72:$BS72,'Historic Employment Monthly'!$B$79:$BS$79,2,'Historic Employment Monthly'!$B$80:$BS$80,VALUE(LEFT('Financial Year Employment'!D$7,4)))+SUMIFS('Historic Employment Monthly'!$B72:$BS72,'Historic Employment Monthly'!$B$79:$BS$79,1,'Historic Employment Monthly'!$B$80:$BS$80,VALUE(CONCATENATE("20",RIGHT('Financial Year Employment'!D$7,2)))))/2,(SUMIFS('Historic Employment Monthly'!$B161:$BS161,'Historic Employment Monthly'!$B$79:$BS$79,2,'Historic Employment Monthly'!$B$80:$BS$80,VALUE(LEFT('Financial Year Employment'!D$7,4)))+SUMIFS('Historic Employment Monthly'!$B161:$BS161,'Historic Employment Monthly'!$B$79:$BS$79,1,'Historic Employment Monthly'!$B$80:$BS$80,VALUE(CONCATENATE("20",RIGHT('Financial Year Employment'!D$7,2)))))/2)</f>
        <v>10265.5</v>
      </c>
      <c r="E15" s="442">
        <f>IF($A$7=$A$100,(SUMIFS('Historic Employment Monthly'!$B72:$BS72,'Historic Employment Monthly'!$B$79:$BS$79,2,'Historic Employment Monthly'!$B$80:$BS$80,VALUE(LEFT('Financial Year Employment'!E$7,4)))+SUMIFS('Historic Employment Monthly'!$B72:$BS72,'Historic Employment Monthly'!$B$79:$BS$79,1,'Historic Employment Monthly'!$B$80:$BS$80,VALUE(CONCATENATE("20",RIGHT('Financial Year Employment'!E$7,2)))))/2,(SUMIFS('Historic Employment Monthly'!$B161:$BS161,'Historic Employment Monthly'!$B$79:$BS$79,2,'Historic Employment Monthly'!$B$80:$BS$80,VALUE(LEFT('Financial Year Employment'!E$7,4)))+SUMIFS('Historic Employment Monthly'!$B161:$BS161,'Historic Employment Monthly'!$B$79:$BS$79,1,'Historic Employment Monthly'!$B$80:$BS$80,VALUE(CONCATENATE("20",RIGHT('Financial Year Employment'!E$7,2)))))/2)</f>
        <v>11646.333333333334</v>
      </c>
      <c r="F15" s="442">
        <f>IF($A$7=$A$100,(SUMIFS('Historic Employment Monthly'!$B72:$BS72,'Historic Employment Monthly'!$B$79:$BS$79,2,'Historic Employment Monthly'!$B$80:$BS$80,VALUE(LEFT('Financial Year Employment'!F$7,4)))+SUMIFS('Historic Employment Monthly'!$B72:$BS72,'Historic Employment Monthly'!$B$79:$BS$79,1,'Historic Employment Monthly'!$B$80:$BS$80,VALUE(CONCATENATE("20",RIGHT('Financial Year Employment'!F$7,2)))))/2,(SUMIFS('Historic Employment Monthly'!$B161:$BS161,'Historic Employment Monthly'!$B$79:$BS$79,2,'Historic Employment Monthly'!$B$80:$BS$80,VALUE(LEFT('Financial Year Employment'!F$7,4)))+SUMIFS('Historic Employment Monthly'!$B161:$BS161,'Historic Employment Monthly'!$B$79:$BS$79,1,'Historic Employment Monthly'!$B$80:$BS$80,VALUE(CONCATENATE("20",RIGHT('Financial Year Employment'!F$7,2)))))/2)</f>
        <v>12458.75</v>
      </c>
      <c r="G15" s="442">
        <f>IF($A$7=$A$100,(SUMIFS('Historic Employment Monthly'!$B72:$BS72,'Historic Employment Monthly'!$B$79:$BS$79,2,'Historic Employment Monthly'!$B$80:$BS$80,VALUE(LEFT('Financial Year Employment'!G$7,4)))+SUMIFS('Historic Employment Monthly'!$B72:$BS72,'Historic Employment Monthly'!$B$79:$BS$79,1,'Historic Employment Monthly'!$B$80:$BS$80,VALUE(CONCATENATE("20",RIGHT('Financial Year Employment'!G$7,2)))))/2,(SUMIFS('Historic Employment Monthly'!$B161:$BS161,'Historic Employment Monthly'!$B$79:$BS$79,2,'Historic Employment Monthly'!$B$80:$BS$80,VALUE(LEFT('Financial Year Employment'!G$7,4)))+SUMIFS('Historic Employment Monthly'!$B161:$BS161,'Historic Employment Monthly'!$B$79:$BS$79,1,'Historic Employment Monthly'!$B$80:$BS$80,VALUE(CONCATENATE("20",RIGHT('Financial Year Employment'!G$7,2)))))/2)</f>
        <v>14414.666666666668</v>
      </c>
      <c r="H15" s="442">
        <f>IF($A$7=$A$100,(SUMIFS('Historic Employment Monthly'!$B72:$BS72,'Historic Employment Monthly'!$B$79:$BS$79,2,'Historic Employment Monthly'!$B$80:$BS$80,VALUE(LEFT('Financial Year Employment'!H$7,4)))+SUMIFS('Historic Employment Monthly'!$B72:$BS72,'Historic Employment Monthly'!$B$79:$BS$79,1,'Historic Employment Monthly'!$B$80:$BS$80,VALUE(CONCATENATE("20",RIGHT('Financial Year Employment'!H$7,2)))))/2,(SUMIFS('Historic Employment Monthly'!$B161:$BS161,'Historic Employment Monthly'!$B$79:$BS$79,2,'Historic Employment Monthly'!$B$80:$BS$80,VALUE(LEFT('Financial Year Employment'!H$7,4)))+SUMIFS('Historic Employment Monthly'!$B161:$BS161,'Historic Employment Monthly'!$B$79:$BS$79,1,'Historic Employment Monthly'!$B$80:$BS$80,VALUE(CONCATENATE("20",RIGHT('Financial Year Employment'!H$7,2)))))/2)</f>
        <v>16603.833333333336</v>
      </c>
      <c r="I15" s="442">
        <f>IF($A$7=$A$100,(SUMIFS('Historic Employment Monthly'!$B72:$BS72,'Historic Employment Monthly'!$B$79:$BS$79,2,'Historic Employment Monthly'!$B$80:$BS$80,VALUE(LEFT('Financial Year Employment'!I$7,4)))+SUMIFS('Historic Employment Monthly'!$B72:$BS72,'Historic Employment Monthly'!$B$79:$BS$79,1,'Historic Employment Monthly'!$B$80:$BS$80,VALUE(CONCATENATE("20",RIGHT('Financial Year Employment'!I$7,2)))))/2,(SUMIFS('Historic Employment Monthly'!$B161:$BS161,'Historic Employment Monthly'!$B$79:$BS$79,2,'Historic Employment Monthly'!$B$80:$BS$80,VALUE(LEFT('Financial Year Employment'!I$7,4)))+SUMIFS('Historic Employment Monthly'!$B161:$BS161,'Historic Employment Monthly'!$B$79:$BS$79,1,'Historic Employment Monthly'!$B$80:$BS$80,VALUE(CONCATENATE("20",RIGHT('Financial Year Employment'!I$7,2)))))/2)</f>
        <v>18947.833333333336</v>
      </c>
      <c r="J15" s="442">
        <f>IF($A$7=$A$100,(SUMIFS('Historic Employment Monthly'!$B72:$BS72,'Historic Employment Monthly'!$B$79:$BS$79,2,'Historic Employment Monthly'!$B$80:$BS$80,VALUE(LEFT('Financial Year Employment'!J$7,4)))+SUMIFS('Historic Employment Monthly'!$B72:$BS72,'Historic Employment Monthly'!$B$79:$BS$79,1,'Historic Employment Monthly'!$B$80:$BS$80,VALUE(CONCATENATE("20",RIGHT('Financial Year Employment'!J$7,2)))))/2,(SUMIFS('Historic Employment Monthly'!$B161:$BS161,'Historic Employment Monthly'!$B$79:$BS$79,2,'Historic Employment Monthly'!$B$80:$BS$80,VALUE(LEFT('Financial Year Employment'!J$7,4)))+SUMIFS('Historic Employment Monthly'!$B161:$BS161,'Historic Employment Monthly'!$B$79:$BS$79,1,'Historic Employment Monthly'!$B$80:$BS$80,VALUE(CONCATENATE("20",RIGHT('Financial Year Employment'!J$7,2)))))/2)</f>
        <v>25168.416666666664</v>
      </c>
      <c r="K15" s="442">
        <f>IF($A$7=$A$100,(SUMIFS('Historic Employment Monthly'!$B72:$BS72,'Historic Employment Monthly'!$B$79:$BS$79,2,'Historic Employment Monthly'!$B$80:$BS$80,VALUE(LEFT('Financial Year Employment'!K$7,4)))+SUMIFS('Historic Employment Monthly'!$B72:$BS72,'Historic Employment Monthly'!$B$79:$BS$79,1,'Historic Employment Monthly'!$B$80:$BS$80,VALUE(CONCATENATE("20",RIGHT('Financial Year Employment'!K$7,2)))))/2,(SUMIFS('Historic Employment Monthly'!$B161:$BS161,'Historic Employment Monthly'!$B$79:$BS$79,2,'Historic Employment Monthly'!$B$80:$BS$80,VALUE(LEFT('Financial Year Employment'!K$7,4)))+SUMIFS('Historic Employment Monthly'!$B161:$BS161,'Historic Employment Monthly'!$B$79:$BS$79,1,'Historic Employment Monthly'!$B$80:$BS$80,VALUE(CONCATENATE("20",RIGHT('Financial Year Employment'!K$7,2)))))/2)</f>
        <v>25380.25</v>
      </c>
      <c r="L15" s="442">
        <f>IF($A$7=$A$100,(SUMIFS('Historic Employment Monthly'!$B72:$BS72,'Historic Employment Monthly'!$B$79:$BS$79,2,'Historic Employment Monthly'!$B$80:$BS$80,VALUE(LEFT('Financial Year Employment'!L$7,4)))+SUMIFS('Historic Employment Monthly'!$B72:$BS72,'Historic Employment Monthly'!$B$79:$BS$79,1,'Historic Employment Monthly'!$B$80:$BS$80,VALUE(CONCATENATE("20",RIGHT('Financial Year Employment'!L$7,2)))))/2,(SUMIFS('Historic Employment Monthly'!$B161:$BS161,'Historic Employment Monthly'!$B$79:$BS$79,2,'Historic Employment Monthly'!$B$80:$BS$80,VALUE(LEFT('Financial Year Employment'!L$7,4)))+SUMIFS('Historic Employment Monthly'!$B161:$BS161,'Historic Employment Monthly'!$B$79:$BS$79,1,'Historic Employment Monthly'!$B$80:$BS$80,VALUE(CONCATENATE("20",RIGHT('Financial Year Employment'!L$7,2)))))/2)</f>
        <v>30247.583333333332</v>
      </c>
      <c r="M15" s="442">
        <f>IF($A$7=$A$100,(SUMIFS('Historic Employment Monthly'!$B72:$BS72,'Historic Employment Monthly'!$B$79:$BS$79,2,'Historic Employment Monthly'!$B$80:$BS$80,VALUE(LEFT('Financial Year Employment'!M$7,4)))+SUMIFS('Historic Employment Monthly'!$B72:$BS72,'Historic Employment Monthly'!$B$79:$BS$79,1,'Historic Employment Monthly'!$B$80:$BS$80,VALUE(CONCATENATE("20",RIGHT('Financial Year Employment'!M$7,2)))))/2,(SUMIFS('Historic Employment Monthly'!$B161:$BS161,'Historic Employment Monthly'!$B$79:$BS$79,2,'Historic Employment Monthly'!$B$80:$BS$80,VALUE(LEFT('Financial Year Employment'!M$7,4)))+SUMIFS('Historic Employment Monthly'!$B161:$BS161,'Historic Employment Monthly'!$B$79:$BS$79,1,'Historic Employment Monthly'!$B$80:$BS$80,VALUE(CONCATENATE("20",RIGHT('Financial Year Employment'!M$7,2)))))/2)</f>
        <v>41192.5</v>
      </c>
      <c r="N15" s="442">
        <f>IF($A$7=$A$100,(SUMIFS('Historic Employment Monthly'!$B72:$BS72,'Historic Employment Monthly'!$B$79:$BS$79,2,'Historic Employment Monthly'!$B$80:$BS$80,VALUE(LEFT('Financial Year Employment'!N$7,4)))+SUMIFS('Historic Employment Monthly'!$B72:$BS72,'Historic Employment Monthly'!$B$79:$BS$79,1,'Historic Employment Monthly'!$B$80:$BS$80,VALUE(CONCATENATE("20",RIGHT('Financial Year Employment'!N$7,2)))))/2,(SUMIFS('Historic Employment Monthly'!$B161:$BS161,'Historic Employment Monthly'!$B$79:$BS$79,2,'Historic Employment Monthly'!$B$80:$BS$80,VALUE(LEFT('Financial Year Employment'!N$7,4)))+SUMIFS('Historic Employment Monthly'!$B161:$BS161,'Historic Employment Monthly'!$B$79:$BS$79,1,'Historic Employment Monthly'!$B$80:$BS$80,VALUE(CONCATENATE("20",RIGHT('Financial Year Employment'!N$7,2)))))/2)</f>
        <v>54868</v>
      </c>
      <c r="O15" s="442">
        <f>IF($A$7=$A$100,(SUMIFS('Historic Employment Monthly'!$B72:$BS72,'Historic Employment Monthly'!$B$79:$BS$79,2,'Historic Employment Monthly'!$B$80:$BS$80,VALUE(LEFT('Financial Year Employment'!O$7,4)))+SUMIFS('Historic Employment Monthly'!$B72:$BS72,'Historic Employment Monthly'!$B$79:$BS$79,1,'Historic Employment Monthly'!$B$80:$BS$80,VALUE(CONCATENATE("20",RIGHT('Financial Year Employment'!O$7,2)))))/2,(SUMIFS('Historic Employment Monthly'!$B161:$BS161,'Historic Employment Monthly'!$B$79:$BS$79,2,'Historic Employment Monthly'!$B$80:$BS$80,VALUE(LEFT('Financial Year Employment'!O$7,4)))+SUMIFS('Historic Employment Monthly'!$B161:$BS161,'Historic Employment Monthly'!$B$79:$BS$79,1,'Historic Employment Monthly'!$B$80:$BS$80,VALUE(CONCATENATE("20",RIGHT('Financial Year Employment'!O$7,2)))))/2)</f>
        <v>62243.583333333328</v>
      </c>
      <c r="P15" s="442">
        <f>IF($A$7=$A$100,(SUMIFS('Historic Employment Monthly'!$B72:$BS72,'Historic Employment Monthly'!$B$79:$BS$79,2,'Historic Employment Monthly'!$B$80:$BS$80,VALUE(LEFT('Financial Year Employment'!P$7,4)))+SUMIFS('Historic Employment Monthly'!$B72:$BS72,'Historic Employment Monthly'!$B$79:$BS$79,1,'Historic Employment Monthly'!$B$80:$BS$80,VALUE(CONCATENATE("20",RIGHT('Financial Year Employment'!P$7,2)))))/2,(SUMIFS('Historic Employment Monthly'!$B161:$BS161,'Historic Employment Monthly'!$B$79:$BS$79,2,'Historic Employment Monthly'!$B$80:$BS$80,VALUE(LEFT('Financial Year Employment'!P$7,4)))+SUMIFS('Historic Employment Monthly'!$B161:$BS161,'Historic Employment Monthly'!$B$79:$BS$79,1,'Historic Employment Monthly'!$B$80:$BS$80,VALUE(CONCATENATE("20",RIGHT('Financial Year Employment'!P$7,2)))))/2)</f>
        <v>58987.666666666672</v>
      </c>
      <c r="Q15" s="353">
        <f>IF($A$7=$A$100,(SUMIFS('Historic Employment Monthly'!$B72:$BS72,'Historic Employment Monthly'!$B$79:$BS$79,2,'Historic Employment Monthly'!$B$80:$BS$80,VALUE(LEFT('Financial Year Employment'!Q$7,4)))+SUMIFS('Historic Employment Monthly'!$B72:$BS72,'Historic Employment Monthly'!$B$79:$BS$79,1,'Historic Employment Monthly'!$B$80:$BS$80,VALUE(CONCATENATE("20",RIGHT('Financial Year Employment'!Q$7,2)))))/2,(SUMIFS('Historic Employment Monthly'!$B161:$BS161,'Historic Employment Monthly'!$B$79:$BS$79,2,'Historic Employment Monthly'!$B$80:$BS$80,VALUE(LEFT('Financial Year Employment'!Q$7,4)))+SUMIFS('Historic Employment Monthly'!$B161:$BS161,'Historic Employment Monthly'!$B$79:$BS$79,1,'Historic Employment Monthly'!$B$80:$BS$80,VALUE(CONCATENATE("20",RIGHT('Financial Year Employment'!Q$7,2)))))/2)</f>
        <v>53099.166666666664</v>
      </c>
      <c r="S15" s="229"/>
      <c r="T15" s="228"/>
      <c r="U15" s="229"/>
    </row>
    <row r="16" spans="1:71" s="184" customFormat="1">
      <c r="A16" s="159" t="s">
        <v>17</v>
      </c>
      <c r="B16" s="349"/>
      <c r="C16" s="348">
        <f>IF($A$7=$A$100,(SUMIFS('Historic Employment Monthly'!$B73:$BS73,'Historic Employment Monthly'!$B$79:$BS$79,2,'Historic Employment Monthly'!$B$80:$BS$80,VALUE(LEFT('Financial Year Employment'!C$7,4)))+SUMIFS('Historic Employment Monthly'!$B73:$BS73,'Historic Employment Monthly'!$B$79:$BS$79,1,'Historic Employment Monthly'!$B$80:$BS$80,VALUE(CONCATENATE("20",RIGHT('Financial Year Employment'!C$7,2)))))/2,(SUMIFS('Historic Employment Monthly'!$B162:$BS162,'Historic Employment Monthly'!$B$79:$BS$79,2,'Historic Employment Monthly'!$B$80:$BS$80,VALUE(LEFT('Financial Year Employment'!C$7,4)))+SUMIFS('Historic Employment Monthly'!$B162:$BS162,'Historic Employment Monthly'!$B$79:$BS$79,1,'Historic Employment Monthly'!$B$80:$BS$80,VALUE(CONCATENATE("20",RIGHT('Financial Year Employment'!C$7,2)))))/2)</f>
        <v>4955.583333333333</v>
      </c>
      <c r="D16" s="348">
        <f>IF($A$7=$A$100,(SUMIFS('Historic Employment Monthly'!$B73:$BS73,'Historic Employment Monthly'!$B$79:$BS$79,2,'Historic Employment Monthly'!$B$80:$BS$80,VALUE(LEFT('Financial Year Employment'!D$7,4)))+SUMIFS('Historic Employment Monthly'!$B73:$BS73,'Historic Employment Monthly'!$B$79:$BS$79,1,'Historic Employment Monthly'!$B$80:$BS$80,VALUE(CONCATENATE("20",RIGHT('Financial Year Employment'!D$7,2)))))/2,(SUMIFS('Historic Employment Monthly'!$B162:$BS162,'Historic Employment Monthly'!$B$79:$BS$79,2,'Historic Employment Monthly'!$B$80:$BS$80,VALUE(LEFT('Financial Year Employment'!D$7,4)))+SUMIFS('Historic Employment Monthly'!$B162:$BS162,'Historic Employment Monthly'!$B$79:$BS$79,1,'Historic Employment Monthly'!$B$80:$BS$80,VALUE(CONCATENATE("20",RIGHT('Financial Year Employment'!D$7,2)))))/2)</f>
        <v>5275.1666666666661</v>
      </c>
      <c r="E16" s="348">
        <f>IF($A$7=$A$100,(SUMIFS('Historic Employment Monthly'!$B73:$BS73,'Historic Employment Monthly'!$B$79:$BS$79,2,'Historic Employment Monthly'!$B$80:$BS$80,VALUE(LEFT('Financial Year Employment'!E$7,4)))+SUMIFS('Historic Employment Monthly'!$B73:$BS73,'Historic Employment Monthly'!$B$79:$BS$79,1,'Historic Employment Monthly'!$B$80:$BS$80,VALUE(CONCATENATE("20",RIGHT('Financial Year Employment'!E$7,2)))))/2,(SUMIFS('Historic Employment Monthly'!$B162:$BS162,'Historic Employment Monthly'!$B$79:$BS$79,2,'Historic Employment Monthly'!$B$80:$BS$80,VALUE(LEFT('Financial Year Employment'!E$7,4)))+SUMIFS('Historic Employment Monthly'!$B162:$BS162,'Historic Employment Monthly'!$B$79:$BS$79,1,'Historic Employment Monthly'!$B$80:$BS$80,VALUE(CONCATENATE("20",RIGHT('Financial Year Employment'!E$7,2)))))/2)</f>
        <v>5823.1666666666661</v>
      </c>
      <c r="F16" s="348">
        <f>IF($A$7=$A$100,(SUMIFS('Historic Employment Monthly'!$B73:$BS73,'Historic Employment Monthly'!$B$79:$BS$79,2,'Historic Employment Monthly'!$B$80:$BS$80,VALUE(LEFT('Financial Year Employment'!F$7,4)))+SUMIFS('Historic Employment Monthly'!$B73:$BS73,'Historic Employment Monthly'!$B$79:$BS$79,1,'Historic Employment Monthly'!$B$80:$BS$80,VALUE(CONCATENATE("20",RIGHT('Financial Year Employment'!F$7,2)))))/2,(SUMIFS('Historic Employment Monthly'!$B162:$BS162,'Historic Employment Monthly'!$B$79:$BS$79,2,'Historic Employment Monthly'!$B$80:$BS$80,VALUE(LEFT('Financial Year Employment'!F$7,4)))+SUMIFS('Historic Employment Monthly'!$B162:$BS162,'Historic Employment Monthly'!$B$79:$BS$79,1,'Historic Employment Monthly'!$B$80:$BS$80,VALUE(CONCATENATE("20",RIGHT('Financial Year Employment'!F$7,2)))))/2)</f>
        <v>8300.8333333333321</v>
      </c>
      <c r="G16" s="348">
        <f>IF($A$7=$A$100,(SUMIFS('Historic Employment Monthly'!$B73:$BS73,'Historic Employment Monthly'!$B$79:$BS$79,2,'Historic Employment Monthly'!$B$80:$BS$80,VALUE(LEFT('Financial Year Employment'!G$7,4)))+SUMIFS('Historic Employment Monthly'!$B73:$BS73,'Historic Employment Monthly'!$B$79:$BS$79,1,'Historic Employment Monthly'!$B$80:$BS$80,VALUE(CONCATENATE("20",RIGHT('Financial Year Employment'!G$7,2)))))/2,(SUMIFS('Historic Employment Monthly'!$B162:$BS162,'Historic Employment Monthly'!$B$79:$BS$79,2,'Historic Employment Monthly'!$B$80:$BS$80,VALUE(LEFT('Financial Year Employment'!G$7,4)))+SUMIFS('Historic Employment Monthly'!$B162:$BS162,'Historic Employment Monthly'!$B$79:$BS$79,1,'Historic Employment Monthly'!$B$80:$BS$80,VALUE(CONCATENATE("20",RIGHT('Financial Year Employment'!G$7,2)))))/2)</f>
        <v>9667.4166666666679</v>
      </c>
      <c r="H16" s="348">
        <f>IF($A$7=$A$100,(SUMIFS('Historic Employment Monthly'!$B73:$BS73,'Historic Employment Monthly'!$B$79:$BS$79,2,'Historic Employment Monthly'!$B$80:$BS$80,VALUE(LEFT('Financial Year Employment'!H$7,4)))+SUMIFS('Historic Employment Monthly'!$B73:$BS73,'Historic Employment Monthly'!$B$79:$BS$79,1,'Historic Employment Monthly'!$B$80:$BS$80,VALUE(CONCATENATE("20",RIGHT('Financial Year Employment'!H$7,2)))))/2,(SUMIFS('Historic Employment Monthly'!$B162:$BS162,'Historic Employment Monthly'!$B$79:$BS$79,2,'Historic Employment Monthly'!$B$80:$BS$80,VALUE(LEFT('Financial Year Employment'!H$7,4)))+SUMIFS('Historic Employment Monthly'!$B162:$BS162,'Historic Employment Monthly'!$B$79:$BS$79,1,'Historic Employment Monthly'!$B$80:$BS$80,VALUE(CONCATENATE("20",RIGHT('Financial Year Employment'!H$7,2)))))/2)</f>
        <v>11728.666666666666</v>
      </c>
      <c r="I16" s="441">
        <f>IF($A$7=$A$100,(SUMIFS('Historic Employment Monthly'!$B73:$BS73,'Historic Employment Monthly'!$B$79:$BS$79,2,'Historic Employment Monthly'!$B$80:$BS$80,VALUE(LEFT('Financial Year Employment'!I$7,4)))+SUMIFS('Historic Employment Monthly'!$B73:$BS73,'Historic Employment Monthly'!$B$79:$BS$79,1,'Historic Employment Monthly'!$B$80:$BS$80,VALUE(CONCATENATE("20",RIGHT('Financial Year Employment'!I$7,2)))))/2,(SUMIFS('Historic Employment Monthly'!$B162:$BS162,'Historic Employment Monthly'!$B$79:$BS$79,2,'Historic Employment Monthly'!$B$80:$BS$80,VALUE(LEFT('Financial Year Employment'!I$7,4)))+SUMIFS('Historic Employment Monthly'!$B162:$BS162,'Historic Employment Monthly'!$B$79:$BS$79,1,'Historic Employment Monthly'!$B$80:$BS$80,VALUE(CONCATENATE("20",RIGHT('Financial Year Employment'!I$7,2)))))/2)</f>
        <v>12911.333333333332</v>
      </c>
      <c r="J16" s="441">
        <f>IF($A$7=$A$100,(SUMIFS('Historic Employment Monthly'!$B73:$BS73,'Historic Employment Monthly'!$B$79:$BS$79,2,'Historic Employment Monthly'!$B$80:$BS$80,VALUE(LEFT('Financial Year Employment'!J$7,4)))+SUMIFS('Historic Employment Monthly'!$B73:$BS73,'Historic Employment Monthly'!$B$79:$BS$79,1,'Historic Employment Monthly'!$B$80:$BS$80,VALUE(CONCATENATE("20",RIGHT('Financial Year Employment'!J$7,2)))))/2,(SUMIFS('Historic Employment Monthly'!$B162:$BS162,'Historic Employment Monthly'!$B$79:$BS$79,2,'Historic Employment Monthly'!$B$80:$BS$80,VALUE(LEFT('Financial Year Employment'!J$7,4)))+SUMIFS('Historic Employment Monthly'!$B162:$BS162,'Historic Employment Monthly'!$B$79:$BS$79,1,'Historic Employment Monthly'!$B$80:$BS$80,VALUE(CONCATENATE("20",RIGHT('Financial Year Employment'!J$7,2)))))/2)</f>
        <v>10083.583333333332</v>
      </c>
      <c r="K16" s="441">
        <f>IF($A$7=$A$100,(SUMIFS('Historic Employment Monthly'!$B73:$BS73,'Historic Employment Monthly'!$B$79:$BS$79,2,'Historic Employment Monthly'!$B$80:$BS$80,VALUE(LEFT('Financial Year Employment'!K$7,4)))+SUMIFS('Historic Employment Monthly'!$B73:$BS73,'Historic Employment Monthly'!$B$79:$BS$79,1,'Historic Employment Monthly'!$B$80:$BS$80,VALUE(CONCATENATE("20",RIGHT('Financial Year Employment'!K$7,2)))))/2,(SUMIFS('Historic Employment Monthly'!$B162:$BS162,'Historic Employment Monthly'!$B$79:$BS$79,2,'Historic Employment Monthly'!$B$80:$BS$80,VALUE(LEFT('Financial Year Employment'!K$7,4)))+SUMIFS('Historic Employment Monthly'!$B162:$BS162,'Historic Employment Monthly'!$B$79:$BS$79,1,'Historic Employment Monthly'!$B$80:$BS$80,VALUE(CONCATENATE("20",RIGHT('Financial Year Employment'!K$7,2)))))/2)</f>
        <v>7262.1666666666661</v>
      </c>
      <c r="L16" s="441">
        <f>IF($A$7=$A$100,(SUMIFS('Historic Employment Monthly'!$B73:$BS73,'Historic Employment Monthly'!$B$79:$BS$79,2,'Historic Employment Monthly'!$B$80:$BS$80,VALUE(LEFT('Financial Year Employment'!L$7,4)))+SUMIFS('Historic Employment Monthly'!$B73:$BS73,'Historic Employment Monthly'!$B$79:$BS$79,1,'Historic Employment Monthly'!$B$80:$BS$80,VALUE(CONCATENATE("20",RIGHT('Financial Year Employment'!L$7,2)))))/2,(SUMIFS('Historic Employment Monthly'!$B162:$BS162,'Historic Employment Monthly'!$B$79:$BS$79,2,'Historic Employment Monthly'!$B$80:$BS$80,VALUE(LEFT('Financial Year Employment'!L$7,4)))+SUMIFS('Historic Employment Monthly'!$B162:$BS162,'Historic Employment Monthly'!$B$79:$BS$79,1,'Historic Employment Monthly'!$B$80:$BS$80,VALUE(CONCATENATE("20",RIGHT('Financial Year Employment'!L$7,2)))))/2)</f>
        <v>9079.5</v>
      </c>
      <c r="M16" s="441">
        <f>IF($A$7=$A$100,(SUMIFS('Historic Employment Monthly'!$B73:$BS73,'Historic Employment Monthly'!$B$79:$BS$79,2,'Historic Employment Monthly'!$B$80:$BS$80,VALUE(LEFT('Financial Year Employment'!M$7,4)))+SUMIFS('Historic Employment Monthly'!$B73:$BS73,'Historic Employment Monthly'!$B$79:$BS$79,1,'Historic Employment Monthly'!$B$80:$BS$80,VALUE(CONCATENATE("20",RIGHT('Financial Year Employment'!M$7,2)))))/2,(SUMIFS('Historic Employment Monthly'!$B162:$BS162,'Historic Employment Monthly'!$B$79:$BS$79,2,'Historic Employment Monthly'!$B$80:$BS$80,VALUE(LEFT('Financial Year Employment'!M$7,4)))+SUMIFS('Historic Employment Monthly'!$B162:$BS162,'Historic Employment Monthly'!$B$79:$BS$79,1,'Historic Employment Monthly'!$B$80:$BS$80,VALUE(CONCATENATE("20",RIGHT('Financial Year Employment'!M$7,2)))))/2)</f>
        <v>8698.5</v>
      </c>
      <c r="N16" s="441">
        <f>IF($A$7=$A$100,(SUMIFS('Historic Employment Monthly'!$B73:$BS73,'Historic Employment Monthly'!$B$79:$BS$79,2,'Historic Employment Monthly'!$B$80:$BS$80,VALUE(LEFT('Financial Year Employment'!N$7,4)))+SUMIFS('Historic Employment Monthly'!$B73:$BS73,'Historic Employment Monthly'!$B$79:$BS$79,1,'Historic Employment Monthly'!$B$80:$BS$80,VALUE(CONCATENATE("20",RIGHT('Financial Year Employment'!N$7,2)))))/2,(SUMIFS('Historic Employment Monthly'!$B162:$BS162,'Historic Employment Monthly'!$B$79:$BS$79,2,'Historic Employment Monthly'!$B$80:$BS$80,VALUE(LEFT('Financial Year Employment'!N$7,4)))+SUMIFS('Historic Employment Monthly'!$B162:$BS162,'Historic Employment Monthly'!$B$79:$BS$79,1,'Historic Employment Monthly'!$B$80:$BS$80,VALUE(CONCATENATE("20",RIGHT('Financial Year Employment'!N$7,2)))))/2)</f>
        <v>7637.6666666666661</v>
      </c>
      <c r="O16" s="441">
        <f>IF($A$7=$A$100,(SUMIFS('Historic Employment Monthly'!$B73:$BS73,'Historic Employment Monthly'!$B$79:$BS$79,2,'Historic Employment Monthly'!$B$80:$BS$80,VALUE(LEFT('Financial Year Employment'!O$7,4)))+SUMIFS('Historic Employment Monthly'!$B73:$BS73,'Historic Employment Monthly'!$B$79:$BS$79,1,'Historic Employment Monthly'!$B$80:$BS$80,VALUE(CONCATENATE("20",RIGHT('Financial Year Employment'!O$7,2)))))/2,(SUMIFS('Historic Employment Monthly'!$B162:$BS162,'Historic Employment Monthly'!$B$79:$BS$79,2,'Historic Employment Monthly'!$B$80:$BS$80,VALUE(LEFT('Financial Year Employment'!O$7,4)))+SUMIFS('Historic Employment Monthly'!$B162:$BS162,'Historic Employment Monthly'!$B$79:$BS$79,1,'Historic Employment Monthly'!$B$80:$BS$80,VALUE(CONCATENATE("20",RIGHT('Financial Year Employment'!O$7,2)))))/2)</f>
        <v>6477.416666666667</v>
      </c>
      <c r="P16" s="441">
        <f>IF($A$7=$A$100,(SUMIFS('Historic Employment Monthly'!$B73:$BS73,'Historic Employment Monthly'!$B$79:$BS$79,2,'Historic Employment Monthly'!$B$80:$BS$80,VALUE(LEFT('Financial Year Employment'!P$7,4)))+SUMIFS('Historic Employment Monthly'!$B73:$BS73,'Historic Employment Monthly'!$B$79:$BS$79,1,'Historic Employment Monthly'!$B$80:$BS$80,VALUE(CONCATENATE("20",RIGHT('Financial Year Employment'!P$7,2)))))/2,(SUMIFS('Historic Employment Monthly'!$B162:$BS162,'Historic Employment Monthly'!$B$79:$BS$79,2,'Historic Employment Monthly'!$B$80:$BS$80,VALUE(LEFT('Financial Year Employment'!P$7,4)))+SUMIFS('Historic Employment Monthly'!$B162:$BS162,'Historic Employment Monthly'!$B$79:$BS$79,1,'Historic Employment Monthly'!$B$80:$BS$80,VALUE(CONCATENATE("20",RIGHT('Financial Year Employment'!P$7,2)))))/2)</f>
        <v>6098.916666666667</v>
      </c>
      <c r="Q16" s="352">
        <f>IF($A$7=$A$100,(SUMIFS('Historic Employment Monthly'!$B73:$BS73,'Historic Employment Monthly'!$B$79:$BS$79,2,'Historic Employment Monthly'!$B$80:$BS$80,VALUE(LEFT('Financial Year Employment'!Q$7,4)))+SUMIFS('Historic Employment Monthly'!$B73:$BS73,'Historic Employment Monthly'!$B$79:$BS$79,1,'Historic Employment Monthly'!$B$80:$BS$80,VALUE(CONCATENATE("20",RIGHT('Financial Year Employment'!Q$7,2)))))/2,(SUMIFS('Historic Employment Monthly'!$B162:$BS162,'Historic Employment Monthly'!$B$79:$BS$79,2,'Historic Employment Monthly'!$B$80:$BS$80,VALUE(LEFT('Financial Year Employment'!Q$7,4)))+SUMIFS('Historic Employment Monthly'!$B162:$BS162,'Historic Employment Monthly'!$B$79:$BS$79,1,'Historic Employment Monthly'!$B$80:$BS$80,VALUE(CONCATENATE("20",RIGHT('Financial Year Employment'!Q$7,2)))))/2)</f>
        <v>5644.6666666666661</v>
      </c>
      <c r="S16" s="229"/>
      <c r="T16" s="228"/>
      <c r="U16" s="229"/>
    </row>
    <row r="17" spans="1:21" s="184" customFormat="1">
      <c r="A17" s="159" t="s">
        <v>120</v>
      </c>
      <c r="B17" s="350"/>
      <c r="C17" s="442">
        <f>IF($A$7=$A$100,(SUMIFS('Historic Employment Monthly'!$B74:$BS74,'Historic Employment Monthly'!$B$79:$BS$79,2,'Historic Employment Monthly'!$B$80:$BS$80,VALUE(LEFT('Financial Year Employment'!C$7,4)))+SUMIFS('Historic Employment Monthly'!$B74:$BS74,'Historic Employment Monthly'!$B$79:$BS$79,1,'Historic Employment Monthly'!$B$80:$BS$80,VALUE(CONCATENATE("20",RIGHT('Financial Year Employment'!C$7,2)))))/2,(SUMIFS('Historic Employment Monthly'!$B163:$BS163,'Historic Employment Monthly'!$B$79:$BS$79,2,'Historic Employment Monthly'!$B$80:$BS$80,VALUE(LEFT('Financial Year Employment'!C$7,4)))+SUMIFS('Historic Employment Monthly'!$B163:$BS163,'Historic Employment Monthly'!$B$79:$BS$79,1,'Historic Employment Monthly'!$B$80:$BS$80,VALUE(CONCATENATE("20",RIGHT('Financial Year Employment'!C$7,2)))))/2)</f>
        <v>700.5</v>
      </c>
      <c r="D17" s="442">
        <f>IF($A$7=$A$100,(SUMIFS('Historic Employment Monthly'!$B74:$BS74,'Historic Employment Monthly'!$B$79:$BS$79,2,'Historic Employment Monthly'!$B$80:$BS$80,VALUE(LEFT('Financial Year Employment'!D$7,4)))+SUMIFS('Historic Employment Monthly'!$B74:$BS74,'Historic Employment Monthly'!$B$79:$BS$79,1,'Historic Employment Monthly'!$B$80:$BS$80,VALUE(CONCATENATE("20",RIGHT('Financial Year Employment'!D$7,2)))))/2,(SUMIFS('Historic Employment Monthly'!$B163:$BS163,'Historic Employment Monthly'!$B$79:$BS$79,2,'Historic Employment Monthly'!$B$80:$BS$80,VALUE(LEFT('Financial Year Employment'!D$7,4)))+SUMIFS('Historic Employment Monthly'!$B163:$BS163,'Historic Employment Monthly'!$B$79:$BS$79,1,'Historic Employment Monthly'!$B$80:$BS$80,VALUE(CONCATENATE("20",RIGHT('Financial Year Employment'!D$7,2)))))/2)</f>
        <v>664.5</v>
      </c>
      <c r="E17" s="442">
        <f>IF($A$7=$A$100,(SUMIFS('Historic Employment Monthly'!$B74:$BS74,'Historic Employment Monthly'!$B$79:$BS$79,2,'Historic Employment Monthly'!$B$80:$BS$80,VALUE(LEFT('Financial Year Employment'!E$7,4)))+SUMIFS('Historic Employment Monthly'!$B74:$BS74,'Historic Employment Monthly'!$B$79:$BS$79,1,'Historic Employment Monthly'!$B$80:$BS$80,VALUE(CONCATENATE("20",RIGHT('Financial Year Employment'!E$7,2)))))/2,(SUMIFS('Historic Employment Monthly'!$B163:$BS163,'Historic Employment Monthly'!$B$79:$BS$79,2,'Historic Employment Monthly'!$B$80:$BS$80,VALUE(LEFT('Financial Year Employment'!E$7,4)))+SUMIFS('Historic Employment Monthly'!$B163:$BS163,'Historic Employment Monthly'!$B$79:$BS$79,1,'Historic Employment Monthly'!$B$80:$BS$80,VALUE(CONCATENATE("20",RIGHT('Financial Year Employment'!E$7,2)))))/2)</f>
        <v>663.75</v>
      </c>
      <c r="F17" s="442">
        <f>IF($A$7=$A$100,(SUMIFS('Historic Employment Monthly'!$B74:$BS74,'Historic Employment Monthly'!$B$79:$BS$79,2,'Historic Employment Monthly'!$B$80:$BS$80,VALUE(LEFT('Financial Year Employment'!F$7,4)))+SUMIFS('Historic Employment Monthly'!$B74:$BS74,'Historic Employment Monthly'!$B$79:$BS$79,1,'Historic Employment Monthly'!$B$80:$BS$80,VALUE(CONCATENATE("20",RIGHT('Financial Year Employment'!F$7,2)))))/2,(SUMIFS('Historic Employment Monthly'!$B163:$BS163,'Historic Employment Monthly'!$B$79:$BS$79,2,'Historic Employment Monthly'!$B$80:$BS$80,VALUE(LEFT('Financial Year Employment'!F$7,4)))+SUMIFS('Historic Employment Monthly'!$B163:$BS163,'Historic Employment Monthly'!$B$79:$BS$79,1,'Historic Employment Monthly'!$B$80:$BS$80,VALUE(CONCATENATE("20",RIGHT('Financial Year Employment'!F$7,2)))))/2)</f>
        <v>768</v>
      </c>
      <c r="G17" s="442">
        <f>IF($A$7=$A$100,(SUMIFS('Historic Employment Monthly'!$B74:$BS74,'Historic Employment Monthly'!$B$79:$BS$79,2,'Historic Employment Monthly'!$B$80:$BS$80,VALUE(LEFT('Financial Year Employment'!G$7,4)))+SUMIFS('Historic Employment Monthly'!$B74:$BS74,'Historic Employment Monthly'!$B$79:$BS$79,1,'Historic Employment Monthly'!$B$80:$BS$80,VALUE(CONCATENATE("20",RIGHT('Financial Year Employment'!G$7,2)))))/2,(SUMIFS('Historic Employment Monthly'!$B163:$BS163,'Historic Employment Monthly'!$B$79:$BS$79,2,'Historic Employment Monthly'!$B$80:$BS$80,VALUE(LEFT('Financial Year Employment'!G$7,4)))+SUMIFS('Historic Employment Monthly'!$B163:$BS163,'Historic Employment Monthly'!$B$79:$BS$79,1,'Historic Employment Monthly'!$B$80:$BS$80,VALUE(CONCATENATE("20",RIGHT('Financial Year Employment'!G$7,2)))))/2)</f>
        <v>838.33333333333326</v>
      </c>
      <c r="H17" s="442">
        <f>IF($A$7=$A$100,(SUMIFS('Historic Employment Monthly'!$B74:$BS74,'Historic Employment Monthly'!$B$79:$BS$79,2,'Historic Employment Monthly'!$B$80:$BS$80,VALUE(LEFT('Financial Year Employment'!H$7,4)))+SUMIFS('Historic Employment Monthly'!$B74:$BS74,'Historic Employment Monthly'!$B$79:$BS$79,1,'Historic Employment Monthly'!$B$80:$BS$80,VALUE(CONCATENATE("20",RIGHT('Financial Year Employment'!H$7,2)))))/2,(SUMIFS('Historic Employment Monthly'!$B163:$BS163,'Historic Employment Monthly'!$B$79:$BS$79,2,'Historic Employment Monthly'!$B$80:$BS$80,VALUE(LEFT('Financial Year Employment'!H$7,4)))+SUMIFS('Historic Employment Monthly'!$B163:$BS163,'Historic Employment Monthly'!$B$79:$BS$79,1,'Historic Employment Monthly'!$B$80:$BS$80,VALUE(CONCATENATE("20",RIGHT('Financial Year Employment'!H$7,2)))))/2)</f>
        <v>866.58333333333326</v>
      </c>
      <c r="I17" s="442">
        <f>IF($A$7=$A$100,(SUMIFS('Historic Employment Monthly'!$B74:$BS74,'Historic Employment Monthly'!$B$79:$BS$79,2,'Historic Employment Monthly'!$B$80:$BS$80,VALUE(LEFT('Financial Year Employment'!I$7,4)))+SUMIFS('Historic Employment Monthly'!$B74:$BS74,'Historic Employment Monthly'!$B$79:$BS$79,1,'Historic Employment Monthly'!$B$80:$BS$80,VALUE(CONCATENATE("20",RIGHT('Financial Year Employment'!I$7,2)))))/2,(SUMIFS('Historic Employment Monthly'!$B163:$BS163,'Historic Employment Monthly'!$B$79:$BS$79,2,'Historic Employment Monthly'!$B$80:$BS$80,VALUE(LEFT('Financial Year Employment'!I$7,4)))+SUMIFS('Historic Employment Monthly'!$B163:$BS163,'Historic Employment Monthly'!$B$79:$BS$79,1,'Historic Employment Monthly'!$B$80:$BS$80,VALUE(CONCATENATE("20",RIGHT('Financial Year Employment'!I$7,2)))))/2)</f>
        <v>843.16666666666674</v>
      </c>
      <c r="J17" s="442">
        <f>IF($A$7=$A$100,(SUMIFS('Historic Employment Monthly'!$B74:$BS74,'Historic Employment Monthly'!$B$79:$BS$79,2,'Historic Employment Monthly'!$B$80:$BS$80,VALUE(LEFT('Financial Year Employment'!J$7,4)))+SUMIFS('Historic Employment Monthly'!$B74:$BS74,'Historic Employment Monthly'!$B$79:$BS$79,1,'Historic Employment Monthly'!$B$80:$BS$80,VALUE(CONCATENATE("20",RIGHT('Financial Year Employment'!J$7,2)))))/2,(SUMIFS('Historic Employment Monthly'!$B163:$BS163,'Historic Employment Monthly'!$B$79:$BS$79,2,'Historic Employment Monthly'!$B$80:$BS$80,VALUE(LEFT('Financial Year Employment'!J$7,4)))+SUMIFS('Historic Employment Monthly'!$B163:$BS163,'Historic Employment Monthly'!$B$79:$BS$79,1,'Historic Employment Monthly'!$B$80:$BS$80,VALUE(CONCATENATE("20",RIGHT('Financial Year Employment'!J$7,2)))))/2)</f>
        <v>921.08333333333326</v>
      </c>
      <c r="K17" s="442">
        <f>IF($A$7=$A$100,(SUMIFS('Historic Employment Monthly'!$B74:$BS74,'Historic Employment Monthly'!$B$79:$BS$79,2,'Historic Employment Monthly'!$B$80:$BS$80,VALUE(LEFT('Financial Year Employment'!K$7,4)))+SUMIFS('Historic Employment Monthly'!$B74:$BS74,'Historic Employment Monthly'!$B$79:$BS$79,1,'Historic Employment Monthly'!$B$80:$BS$80,VALUE(CONCATENATE("20",RIGHT('Financial Year Employment'!K$7,2)))))/2,(SUMIFS('Historic Employment Monthly'!$B163:$BS163,'Historic Employment Monthly'!$B$79:$BS$79,2,'Historic Employment Monthly'!$B$80:$BS$80,VALUE(LEFT('Financial Year Employment'!K$7,4)))+SUMIFS('Historic Employment Monthly'!$B163:$BS163,'Historic Employment Monthly'!$B$79:$BS$79,1,'Historic Employment Monthly'!$B$80:$BS$80,VALUE(CONCATENATE("20",RIGHT('Financial Year Employment'!K$7,2)))))/2)</f>
        <v>986.16666666666674</v>
      </c>
      <c r="L17" s="442">
        <f>IF($A$7=$A$100,(SUMIFS('Historic Employment Monthly'!$B74:$BS74,'Historic Employment Monthly'!$B$79:$BS$79,2,'Historic Employment Monthly'!$B$80:$BS$80,VALUE(LEFT('Financial Year Employment'!L$7,4)))+SUMIFS('Historic Employment Monthly'!$B74:$BS74,'Historic Employment Monthly'!$B$79:$BS$79,1,'Historic Employment Monthly'!$B$80:$BS$80,VALUE(CONCATENATE("20",RIGHT('Financial Year Employment'!L$7,2)))))/2,(SUMIFS('Historic Employment Monthly'!$B163:$BS163,'Historic Employment Monthly'!$B$79:$BS$79,2,'Historic Employment Monthly'!$B$80:$BS$80,VALUE(LEFT('Financial Year Employment'!L$7,4)))+SUMIFS('Historic Employment Monthly'!$B163:$BS163,'Historic Employment Monthly'!$B$79:$BS$79,1,'Historic Employment Monthly'!$B$80:$BS$80,VALUE(CONCATENATE("20",RIGHT('Financial Year Employment'!L$7,2)))))/2)</f>
        <v>1295.5</v>
      </c>
      <c r="M17" s="442">
        <f>IF($A$7=$A$100,(SUMIFS('Historic Employment Monthly'!$B74:$BS74,'Historic Employment Monthly'!$B$79:$BS$79,2,'Historic Employment Monthly'!$B$80:$BS$80,VALUE(LEFT('Financial Year Employment'!M$7,4)))+SUMIFS('Historic Employment Monthly'!$B74:$BS74,'Historic Employment Monthly'!$B$79:$BS$79,1,'Historic Employment Monthly'!$B$80:$BS$80,VALUE(CONCATENATE("20",RIGHT('Financial Year Employment'!M$7,2)))))/2,(SUMIFS('Historic Employment Monthly'!$B163:$BS163,'Historic Employment Monthly'!$B$79:$BS$79,2,'Historic Employment Monthly'!$B$80:$BS$80,VALUE(LEFT('Financial Year Employment'!M$7,4)))+SUMIFS('Historic Employment Monthly'!$B163:$BS163,'Historic Employment Monthly'!$B$79:$BS$79,1,'Historic Employment Monthly'!$B$80:$BS$80,VALUE(CONCATENATE("20",RIGHT('Financial Year Employment'!M$7,2)))))/2)</f>
        <v>1096.75</v>
      </c>
      <c r="N17" s="442">
        <f>IF($A$7=$A$100,(SUMIFS('Historic Employment Monthly'!$B74:$BS74,'Historic Employment Monthly'!$B$79:$BS$79,2,'Historic Employment Monthly'!$B$80:$BS$80,VALUE(LEFT('Financial Year Employment'!N$7,4)))+SUMIFS('Historic Employment Monthly'!$B74:$BS74,'Historic Employment Monthly'!$B$79:$BS$79,1,'Historic Employment Monthly'!$B$80:$BS$80,VALUE(CONCATENATE("20",RIGHT('Financial Year Employment'!N$7,2)))))/2,(SUMIFS('Historic Employment Monthly'!$B163:$BS163,'Historic Employment Monthly'!$B$79:$BS$79,2,'Historic Employment Monthly'!$B$80:$BS$80,VALUE(LEFT('Financial Year Employment'!N$7,4)))+SUMIFS('Historic Employment Monthly'!$B163:$BS163,'Historic Employment Monthly'!$B$79:$BS$79,1,'Historic Employment Monthly'!$B$80:$BS$80,VALUE(CONCATENATE("20",RIGHT('Financial Year Employment'!N$7,2)))))/2)</f>
        <v>1136.5</v>
      </c>
      <c r="O17" s="442">
        <f>IF($A$7=$A$100,(SUMIFS('Historic Employment Monthly'!$B74:$BS74,'Historic Employment Monthly'!$B$79:$BS$79,2,'Historic Employment Monthly'!$B$80:$BS$80,VALUE(LEFT('Financial Year Employment'!O$7,4)))+SUMIFS('Historic Employment Monthly'!$B74:$BS74,'Historic Employment Monthly'!$B$79:$BS$79,1,'Historic Employment Monthly'!$B$80:$BS$80,VALUE(CONCATENATE("20",RIGHT('Financial Year Employment'!O$7,2)))))/2,(SUMIFS('Historic Employment Monthly'!$B163:$BS163,'Historic Employment Monthly'!$B$79:$BS$79,2,'Historic Employment Monthly'!$B$80:$BS$80,VALUE(LEFT('Financial Year Employment'!O$7,4)))+SUMIFS('Historic Employment Monthly'!$B163:$BS163,'Historic Employment Monthly'!$B$79:$BS$79,1,'Historic Employment Monthly'!$B$80:$BS$80,VALUE(CONCATENATE("20",RIGHT('Financial Year Employment'!O$7,2)))))/2)</f>
        <v>1072.4166666666667</v>
      </c>
      <c r="P17" s="442">
        <f>IF($A$7=$A$100,(SUMIFS('Historic Employment Monthly'!$B74:$BS74,'Historic Employment Monthly'!$B$79:$BS$79,2,'Historic Employment Monthly'!$B$80:$BS$80,VALUE(LEFT('Financial Year Employment'!P$7,4)))+SUMIFS('Historic Employment Monthly'!$B74:$BS74,'Historic Employment Monthly'!$B$79:$BS$79,1,'Historic Employment Monthly'!$B$80:$BS$80,VALUE(CONCATENATE("20",RIGHT('Financial Year Employment'!P$7,2)))))/2,(SUMIFS('Historic Employment Monthly'!$B163:$BS163,'Historic Employment Monthly'!$B$79:$BS$79,2,'Historic Employment Monthly'!$B$80:$BS$80,VALUE(LEFT('Financial Year Employment'!P$7,4)))+SUMIFS('Historic Employment Monthly'!$B163:$BS163,'Historic Employment Monthly'!$B$79:$BS$79,1,'Historic Employment Monthly'!$B$80:$BS$80,VALUE(CONCATENATE("20",RIGHT('Financial Year Employment'!P$7,2)))))/2)</f>
        <v>973.75</v>
      </c>
      <c r="Q17" s="353">
        <f>IF($A$7=$A$100,(SUMIFS('Historic Employment Monthly'!$B74:$BS74,'Historic Employment Monthly'!$B$79:$BS$79,2,'Historic Employment Monthly'!$B$80:$BS$80,VALUE(LEFT('Financial Year Employment'!Q$7,4)))+SUMIFS('Historic Employment Monthly'!$B74:$BS74,'Historic Employment Monthly'!$B$79:$BS$79,1,'Historic Employment Monthly'!$B$80:$BS$80,VALUE(CONCATENATE("20",RIGHT('Financial Year Employment'!Q$7,2)))))/2,(SUMIFS('Historic Employment Monthly'!$B163:$BS163,'Historic Employment Monthly'!$B$79:$BS$79,2,'Historic Employment Monthly'!$B$80:$BS$80,VALUE(LEFT('Financial Year Employment'!Q$7,4)))+SUMIFS('Historic Employment Monthly'!$B163:$BS163,'Historic Employment Monthly'!$B$79:$BS$79,1,'Historic Employment Monthly'!$B$80:$BS$80,VALUE(CONCATENATE("20",RIGHT('Financial Year Employment'!Q$7,2)))))/2)</f>
        <v>827.5</v>
      </c>
      <c r="S17" s="229"/>
      <c r="T17" s="228"/>
      <c r="U17" s="229"/>
    </row>
    <row r="18" spans="1:21" s="184" customFormat="1">
      <c r="A18" s="159" t="s">
        <v>338</v>
      </c>
      <c r="B18" s="349"/>
      <c r="C18" s="348">
        <f>IF($A$7=$A$100,(SUMIFS('Historic Employment Monthly'!$B75:$BS75,'Historic Employment Monthly'!$B$79:$BS$79,2,'Historic Employment Monthly'!$B$80:$BS$80,VALUE(LEFT('Financial Year Employment'!C$7,4)))+SUMIFS('Historic Employment Monthly'!$B75:$BS75,'Historic Employment Monthly'!$B$79:$BS$79,1,'Historic Employment Monthly'!$B$80:$BS$80,VALUE(CONCATENATE("20",RIGHT('Financial Year Employment'!C$7,2)))))/2,(SUMIFS('Historic Employment Monthly'!$B164:$BS164,'Historic Employment Monthly'!$B$79:$BS$79,2,'Historic Employment Monthly'!$B$80:$BS$80,VALUE(LEFT('Financial Year Employment'!C$7,4)))+SUMIFS('Historic Employment Monthly'!$B164:$BS164,'Historic Employment Monthly'!$B$79:$BS$79,1,'Historic Employment Monthly'!$B$80:$BS$80,VALUE(CONCATENATE("20",RIGHT('Financial Year Employment'!C$7,2)))))/2)</f>
        <v>584.75</v>
      </c>
      <c r="D18" s="348">
        <f>IF($A$7=$A$100,(SUMIFS('Historic Employment Monthly'!$B75:$BS75,'Historic Employment Monthly'!$B$79:$BS$79,2,'Historic Employment Monthly'!$B$80:$BS$80,VALUE(LEFT('Financial Year Employment'!D$7,4)))+SUMIFS('Historic Employment Monthly'!$B75:$BS75,'Historic Employment Monthly'!$B$79:$BS$79,1,'Historic Employment Monthly'!$B$80:$BS$80,VALUE(CONCATENATE("20",RIGHT('Financial Year Employment'!D$7,2)))))/2,(SUMIFS('Historic Employment Monthly'!$B164:$BS164,'Historic Employment Monthly'!$B$79:$BS$79,2,'Historic Employment Monthly'!$B$80:$BS$80,VALUE(LEFT('Financial Year Employment'!D$7,4)))+SUMIFS('Historic Employment Monthly'!$B164:$BS164,'Historic Employment Monthly'!$B$79:$BS$79,1,'Historic Employment Monthly'!$B$80:$BS$80,VALUE(CONCATENATE("20",RIGHT('Financial Year Employment'!D$7,2)))))/2)</f>
        <v>456.41666666666663</v>
      </c>
      <c r="E18" s="348">
        <f>IF($A$7=$A$100,(SUMIFS('Historic Employment Monthly'!$B75:$BS75,'Historic Employment Monthly'!$B$79:$BS$79,2,'Historic Employment Monthly'!$B$80:$BS$80,VALUE(LEFT('Financial Year Employment'!E$7,4)))+SUMIFS('Historic Employment Monthly'!$B75:$BS75,'Historic Employment Monthly'!$B$79:$BS$79,1,'Historic Employment Monthly'!$B$80:$BS$80,VALUE(CONCATENATE("20",RIGHT('Financial Year Employment'!E$7,2)))))/2,(SUMIFS('Historic Employment Monthly'!$B164:$BS164,'Historic Employment Monthly'!$B$79:$BS$79,2,'Historic Employment Monthly'!$B$80:$BS$80,VALUE(LEFT('Financial Year Employment'!E$7,4)))+SUMIFS('Historic Employment Monthly'!$B164:$BS164,'Historic Employment Monthly'!$B$79:$BS$79,1,'Historic Employment Monthly'!$B$80:$BS$80,VALUE(CONCATENATE("20",RIGHT('Financial Year Employment'!E$7,2)))))/2)</f>
        <v>479.08333333333337</v>
      </c>
      <c r="F18" s="348">
        <f>IF($A$7=$A$100,(SUMIFS('Historic Employment Monthly'!$B75:$BS75,'Historic Employment Monthly'!$B$79:$BS$79,2,'Historic Employment Monthly'!$B$80:$BS$80,VALUE(LEFT('Financial Year Employment'!F$7,4)))+SUMIFS('Historic Employment Monthly'!$B75:$BS75,'Historic Employment Monthly'!$B$79:$BS$79,1,'Historic Employment Monthly'!$B$80:$BS$80,VALUE(CONCATENATE("20",RIGHT('Financial Year Employment'!F$7,2)))))/2,(SUMIFS('Historic Employment Monthly'!$B164:$BS164,'Historic Employment Monthly'!$B$79:$BS$79,2,'Historic Employment Monthly'!$B$80:$BS$80,VALUE(LEFT('Financial Year Employment'!F$7,4)))+SUMIFS('Historic Employment Monthly'!$B164:$BS164,'Historic Employment Monthly'!$B$79:$BS$79,1,'Historic Employment Monthly'!$B$80:$BS$80,VALUE(CONCATENATE("20",RIGHT('Financial Year Employment'!F$7,2)))))/2)</f>
        <v>525.16666666666674</v>
      </c>
      <c r="G18" s="348">
        <f>IF($A$7=$A$100,(SUMIFS('Historic Employment Monthly'!$B75:$BS75,'Historic Employment Monthly'!$B$79:$BS$79,2,'Historic Employment Monthly'!$B$80:$BS$80,VALUE(LEFT('Financial Year Employment'!G$7,4)))+SUMIFS('Historic Employment Monthly'!$B75:$BS75,'Historic Employment Monthly'!$B$79:$BS$79,1,'Historic Employment Monthly'!$B$80:$BS$80,VALUE(CONCATENATE("20",RIGHT('Financial Year Employment'!G$7,2)))))/2,(SUMIFS('Historic Employment Monthly'!$B164:$BS164,'Historic Employment Monthly'!$B$79:$BS$79,2,'Historic Employment Monthly'!$B$80:$BS$80,VALUE(LEFT('Financial Year Employment'!G$7,4)))+SUMIFS('Historic Employment Monthly'!$B164:$BS164,'Historic Employment Monthly'!$B$79:$BS$79,1,'Historic Employment Monthly'!$B$80:$BS$80,VALUE(CONCATENATE("20",RIGHT('Financial Year Employment'!G$7,2)))))/2)</f>
        <v>539.83333333333326</v>
      </c>
      <c r="H18" s="348">
        <f>IF($A$7=$A$100,(SUMIFS('Historic Employment Monthly'!$B75:$BS75,'Historic Employment Monthly'!$B$79:$BS$79,2,'Historic Employment Monthly'!$B$80:$BS$80,VALUE(LEFT('Financial Year Employment'!H$7,4)))+SUMIFS('Historic Employment Monthly'!$B75:$BS75,'Historic Employment Monthly'!$B$79:$BS$79,1,'Historic Employment Monthly'!$B$80:$BS$80,VALUE(CONCATENATE("20",RIGHT('Financial Year Employment'!H$7,2)))))/2,(SUMIFS('Historic Employment Monthly'!$B164:$BS164,'Historic Employment Monthly'!$B$79:$BS$79,2,'Historic Employment Monthly'!$B$80:$BS$80,VALUE(LEFT('Financial Year Employment'!H$7,4)))+SUMIFS('Historic Employment Monthly'!$B164:$BS164,'Historic Employment Monthly'!$B$79:$BS$79,1,'Historic Employment Monthly'!$B$80:$BS$80,VALUE(CONCATENATE("20",RIGHT('Financial Year Employment'!H$7,2)))))/2)</f>
        <v>414</v>
      </c>
      <c r="I18" s="441">
        <f>IF($A$7=$A$100,(SUMIFS('Historic Employment Monthly'!$B75:$BS75,'Historic Employment Monthly'!$B$79:$BS$79,2,'Historic Employment Monthly'!$B$80:$BS$80,VALUE(LEFT('Financial Year Employment'!I$7,4)))+SUMIFS('Historic Employment Monthly'!$B75:$BS75,'Historic Employment Monthly'!$B$79:$BS$79,1,'Historic Employment Monthly'!$B$80:$BS$80,VALUE(CONCATENATE("20",RIGHT('Financial Year Employment'!I$7,2)))))/2,(SUMIFS('Historic Employment Monthly'!$B164:$BS164,'Historic Employment Monthly'!$B$79:$BS$79,2,'Historic Employment Monthly'!$B$80:$BS$80,VALUE(LEFT('Financial Year Employment'!I$7,4)))+SUMIFS('Historic Employment Monthly'!$B164:$BS164,'Historic Employment Monthly'!$B$79:$BS$79,1,'Historic Employment Monthly'!$B$80:$BS$80,VALUE(CONCATENATE("20",RIGHT('Financial Year Employment'!I$7,2)))))/2)</f>
        <v>463.83333333333337</v>
      </c>
      <c r="J18" s="441">
        <f>IF($A$7=$A$100,(SUMIFS('Historic Employment Monthly'!$B75:$BS75,'Historic Employment Monthly'!$B$79:$BS$79,2,'Historic Employment Monthly'!$B$80:$BS$80,VALUE(LEFT('Financial Year Employment'!J$7,4)))+SUMIFS('Historic Employment Monthly'!$B75:$BS75,'Historic Employment Monthly'!$B$79:$BS$79,1,'Historic Employment Monthly'!$B$80:$BS$80,VALUE(CONCATENATE("20",RIGHT('Financial Year Employment'!J$7,2)))))/2,(SUMIFS('Historic Employment Monthly'!$B164:$BS164,'Historic Employment Monthly'!$B$79:$BS$79,2,'Historic Employment Monthly'!$B$80:$BS$80,VALUE(LEFT('Financial Year Employment'!J$7,4)))+SUMIFS('Historic Employment Monthly'!$B164:$BS164,'Historic Employment Monthly'!$B$79:$BS$79,1,'Historic Employment Monthly'!$B$80:$BS$80,VALUE(CONCATENATE("20",RIGHT('Financial Year Employment'!J$7,2)))))/2)</f>
        <v>366.33333333333337</v>
      </c>
      <c r="K18" s="441">
        <f>IF($A$7=$A$100,(SUMIFS('Historic Employment Monthly'!$B75:$BS75,'Historic Employment Monthly'!$B$79:$BS$79,2,'Historic Employment Monthly'!$B$80:$BS$80,VALUE(LEFT('Financial Year Employment'!K$7,4)))+SUMIFS('Historic Employment Monthly'!$B75:$BS75,'Historic Employment Monthly'!$B$79:$BS$79,1,'Historic Employment Monthly'!$B$80:$BS$80,VALUE(CONCATENATE("20",RIGHT('Financial Year Employment'!K$7,2)))))/2,(SUMIFS('Historic Employment Monthly'!$B164:$BS164,'Historic Employment Monthly'!$B$79:$BS$79,2,'Historic Employment Monthly'!$B$80:$BS$80,VALUE(LEFT('Financial Year Employment'!K$7,4)))+SUMIFS('Historic Employment Monthly'!$B164:$BS164,'Historic Employment Monthly'!$B$79:$BS$79,1,'Historic Employment Monthly'!$B$80:$BS$80,VALUE(CONCATENATE("20",RIGHT('Financial Year Employment'!K$7,2)))))/2)</f>
        <v>339.16666666666663</v>
      </c>
      <c r="L18" s="441">
        <f>IF($A$7=$A$100,(SUMIFS('Historic Employment Monthly'!$B75:$BS75,'Historic Employment Monthly'!$B$79:$BS$79,2,'Historic Employment Monthly'!$B$80:$BS$80,VALUE(LEFT('Financial Year Employment'!L$7,4)))+SUMIFS('Historic Employment Monthly'!$B75:$BS75,'Historic Employment Monthly'!$B$79:$BS$79,1,'Historic Employment Monthly'!$B$80:$BS$80,VALUE(CONCATENATE("20",RIGHT('Financial Year Employment'!L$7,2)))))/2,(SUMIFS('Historic Employment Monthly'!$B164:$BS164,'Historic Employment Monthly'!$B$79:$BS$79,2,'Historic Employment Monthly'!$B$80:$BS$80,VALUE(LEFT('Financial Year Employment'!L$7,4)))+SUMIFS('Historic Employment Monthly'!$B164:$BS164,'Historic Employment Monthly'!$B$79:$BS$79,1,'Historic Employment Monthly'!$B$80:$BS$80,VALUE(CONCATENATE("20",RIGHT('Financial Year Employment'!L$7,2)))))/2)</f>
        <v>554.25</v>
      </c>
      <c r="M18" s="441">
        <f>IF($A$7=$A$100,(SUMIFS('Historic Employment Monthly'!$B75:$BS75,'Historic Employment Monthly'!$B$79:$BS$79,2,'Historic Employment Monthly'!$B$80:$BS$80,VALUE(LEFT('Financial Year Employment'!M$7,4)))+SUMIFS('Historic Employment Monthly'!$B75:$BS75,'Historic Employment Monthly'!$B$79:$BS$79,1,'Historic Employment Monthly'!$B$80:$BS$80,VALUE(CONCATENATE("20",RIGHT('Financial Year Employment'!M$7,2)))))/2,(SUMIFS('Historic Employment Monthly'!$B164:$BS164,'Historic Employment Monthly'!$B$79:$BS$79,2,'Historic Employment Monthly'!$B$80:$BS$80,VALUE(LEFT('Financial Year Employment'!M$7,4)))+SUMIFS('Historic Employment Monthly'!$B164:$BS164,'Historic Employment Monthly'!$B$79:$BS$79,1,'Historic Employment Monthly'!$B$80:$BS$80,VALUE(CONCATENATE("20",RIGHT('Financial Year Employment'!M$7,2)))))/2)</f>
        <v>649.83333333333337</v>
      </c>
      <c r="N18" s="441">
        <f>IF($A$7=$A$100,(SUMIFS('Historic Employment Monthly'!$B75:$BS75,'Historic Employment Monthly'!$B$79:$BS$79,2,'Historic Employment Monthly'!$B$80:$BS$80,VALUE(LEFT('Financial Year Employment'!N$7,4)))+SUMIFS('Historic Employment Monthly'!$B75:$BS75,'Historic Employment Monthly'!$B$79:$BS$79,1,'Historic Employment Monthly'!$B$80:$BS$80,VALUE(CONCATENATE("20",RIGHT('Financial Year Employment'!N$7,2)))))/2,(SUMIFS('Historic Employment Monthly'!$B164:$BS164,'Historic Employment Monthly'!$B$79:$BS$79,2,'Historic Employment Monthly'!$B$80:$BS$80,VALUE(LEFT('Financial Year Employment'!N$7,4)))+SUMIFS('Historic Employment Monthly'!$B164:$BS164,'Historic Employment Monthly'!$B$79:$BS$79,1,'Historic Employment Monthly'!$B$80:$BS$80,VALUE(CONCATENATE("20",RIGHT('Financial Year Employment'!N$7,2)))))/2)</f>
        <v>435.16666666666669</v>
      </c>
      <c r="O18" s="441">
        <f>IF($A$7=$A$100,(SUMIFS('Historic Employment Monthly'!$B75:$BS75,'Historic Employment Monthly'!$B$79:$BS$79,2,'Historic Employment Monthly'!$B$80:$BS$80,VALUE(LEFT('Financial Year Employment'!O$7,4)))+SUMIFS('Historic Employment Monthly'!$B75:$BS75,'Historic Employment Monthly'!$B$79:$BS$79,1,'Historic Employment Monthly'!$B$80:$BS$80,VALUE(CONCATENATE("20",RIGHT('Financial Year Employment'!O$7,2)))))/2,(SUMIFS('Historic Employment Monthly'!$B164:$BS164,'Historic Employment Monthly'!$B$79:$BS$79,2,'Historic Employment Monthly'!$B$80:$BS$80,VALUE(LEFT('Financial Year Employment'!O$7,4)))+SUMIFS('Historic Employment Monthly'!$B164:$BS164,'Historic Employment Monthly'!$B$79:$BS$79,1,'Historic Employment Monthly'!$B$80:$BS$80,VALUE(CONCATENATE("20",RIGHT('Financial Year Employment'!O$7,2)))))/2)</f>
        <v>388.91666666666669</v>
      </c>
      <c r="P18" s="441">
        <f>IF($A$7=$A$100,(SUMIFS('Historic Employment Monthly'!$B75:$BS75,'Historic Employment Monthly'!$B$79:$BS$79,2,'Historic Employment Monthly'!$B$80:$BS$80,VALUE(LEFT('Financial Year Employment'!P$7,4)))+SUMIFS('Historic Employment Monthly'!$B75:$BS75,'Historic Employment Monthly'!$B$79:$BS$79,1,'Historic Employment Monthly'!$B$80:$BS$80,VALUE(CONCATENATE("20",RIGHT('Financial Year Employment'!P$7,2)))))/2,(SUMIFS('Historic Employment Monthly'!$B164:$BS164,'Historic Employment Monthly'!$B$79:$BS$79,2,'Historic Employment Monthly'!$B$80:$BS$80,VALUE(LEFT('Financial Year Employment'!P$7,4)))+SUMIFS('Historic Employment Monthly'!$B164:$BS164,'Historic Employment Monthly'!$B$79:$BS$79,1,'Historic Employment Monthly'!$B$80:$BS$80,VALUE(CONCATENATE("20",RIGHT('Financial Year Employment'!P$7,2)))))/2)</f>
        <v>564.16666666666663</v>
      </c>
      <c r="Q18" s="352">
        <f>IF($A$7=$A$100,(SUMIFS('Historic Employment Monthly'!$B75:$BS75,'Historic Employment Monthly'!$B$79:$BS$79,2,'Historic Employment Monthly'!$B$80:$BS$80,VALUE(LEFT('Financial Year Employment'!Q$7,4)))+SUMIFS('Historic Employment Monthly'!$B75:$BS75,'Historic Employment Monthly'!$B$79:$BS$79,1,'Historic Employment Monthly'!$B$80:$BS$80,VALUE(CONCATENATE("20",RIGHT('Financial Year Employment'!Q$7,2)))))/2,(SUMIFS('Historic Employment Monthly'!$B164:$BS164,'Historic Employment Monthly'!$B$79:$BS$79,2,'Historic Employment Monthly'!$B$80:$BS$80,VALUE(LEFT('Financial Year Employment'!Q$7,4)))+SUMIFS('Historic Employment Monthly'!$B164:$BS164,'Historic Employment Monthly'!$B$79:$BS$79,1,'Historic Employment Monthly'!$B$80:$BS$80,VALUE(CONCATENATE("20",RIGHT('Financial Year Employment'!Q$7,2)))))/2)</f>
        <v>773.08333333333326</v>
      </c>
      <c r="S18" s="229"/>
      <c r="T18" s="228"/>
      <c r="U18" s="229"/>
    </row>
    <row r="19" spans="1:21" s="184" customFormat="1">
      <c r="A19" s="159" t="s">
        <v>103</v>
      </c>
      <c r="B19" s="350"/>
      <c r="C19" s="442">
        <f>IF($A$7=$A$100,(SUMIFS('Historic Employment Monthly'!$B77:$BS77,'Historic Employment Monthly'!$B$79:$BS$79,2,'Historic Employment Monthly'!$B$80:$BS$80,VALUE(LEFT('Financial Year Employment'!C$7,4)))+SUMIFS('Historic Employment Monthly'!$B77:$BS77,'Historic Employment Monthly'!$B$79:$BS$79,1,'Historic Employment Monthly'!$B$80:$BS$80,VALUE(CONCATENATE("20",RIGHT('Financial Year Employment'!C$7,2)))))/2,(SUMIFS('Historic Employment Monthly'!$B166:$BS166,'Historic Employment Monthly'!$B$79:$BS$79,2,'Historic Employment Monthly'!$B$80:$BS$80,VALUE(LEFT('Financial Year Employment'!C$7,4)))+SUMIFS('Historic Employment Monthly'!$B166:$BS166,'Historic Employment Monthly'!$B$79:$BS$79,1,'Historic Employment Monthly'!$B$80:$BS$80,VALUE(CONCATENATE("20",RIGHT('Financial Year Employment'!C$7,2)))))/2)</f>
        <v>1455</v>
      </c>
      <c r="D19" s="442">
        <f>IF($A$7=$A$100,(SUMIFS('Historic Employment Monthly'!$B77:$BS77,'Historic Employment Monthly'!$B$79:$BS$79,2,'Historic Employment Monthly'!$B$80:$BS$80,VALUE(LEFT('Financial Year Employment'!D$7,4)))+SUMIFS('Historic Employment Monthly'!$B77:$BS77,'Historic Employment Monthly'!$B$79:$BS$79,1,'Historic Employment Monthly'!$B$80:$BS$80,VALUE(CONCATENATE("20",RIGHT('Financial Year Employment'!D$7,2)))))/2,(SUMIFS('Historic Employment Monthly'!$B166:$BS166,'Historic Employment Monthly'!$B$79:$BS$79,2,'Historic Employment Monthly'!$B$80:$BS$80,VALUE(LEFT('Financial Year Employment'!D$7,4)))+SUMIFS('Historic Employment Monthly'!$B166:$BS166,'Historic Employment Monthly'!$B$79:$BS$79,1,'Historic Employment Monthly'!$B$80:$BS$80,VALUE(CONCATENATE("20",RIGHT('Financial Year Employment'!D$7,2)))))/2)</f>
        <v>1625</v>
      </c>
      <c r="E19" s="442">
        <f>IF($A$7=$A$100,(SUMIFS('Historic Employment Monthly'!$B77:$BS77,'Historic Employment Monthly'!$B$79:$BS$79,2,'Historic Employment Monthly'!$B$80:$BS$80,VALUE(LEFT('Financial Year Employment'!E$7,4)))+SUMIFS('Historic Employment Monthly'!$B77:$BS77,'Historic Employment Monthly'!$B$79:$BS$79,1,'Historic Employment Monthly'!$B$80:$BS$80,VALUE(CONCATENATE("20",RIGHT('Financial Year Employment'!E$7,2)))))/2,(SUMIFS('Historic Employment Monthly'!$B166:$BS166,'Historic Employment Monthly'!$B$79:$BS$79,2,'Historic Employment Monthly'!$B$80:$BS$80,VALUE(LEFT('Financial Year Employment'!E$7,4)))+SUMIFS('Historic Employment Monthly'!$B166:$BS166,'Historic Employment Monthly'!$B$79:$BS$79,1,'Historic Employment Monthly'!$B$80:$BS$80,VALUE(CONCATENATE("20",RIGHT('Financial Year Employment'!E$7,2)))))/2)</f>
        <v>1614.25</v>
      </c>
      <c r="F19" s="442">
        <f>IF($A$7=$A$100,(SUMIFS('Historic Employment Monthly'!$B77:$BS77,'Historic Employment Monthly'!$B$79:$BS$79,2,'Historic Employment Monthly'!$B$80:$BS$80,VALUE(LEFT('Financial Year Employment'!F$7,4)))+SUMIFS('Historic Employment Monthly'!$B77:$BS77,'Historic Employment Monthly'!$B$79:$BS$79,1,'Historic Employment Monthly'!$B$80:$BS$80,VALUE(CONCATENATE("20",RIGHT('Financial Year Employment'!F$7,2)))))/2,(SUMIFS('Historic Employment Monthly'!$B166:$BS166,'Historic Employment Monthly'!$B$79:$BS$79,2,'Historic Employment Monthly'!$B$80:$BS$80,VALUE(LEFT('Financial Year Employment'!F$7,4)))+SUMIFS('Historic Employment Monthly'!$B166:$BS166,'Historic Employment Monthly'!$B$79:$BS$79,1,'Historic Employment Monthly'!$B$80:$BS$80,VALUE(CONCATENATE("20",RIGHT('Financial Year Employment'!F$7,2)))))/2)</f>
        <v>1830.25</v>
      </c>
      <c r="G19" s="442">
        <f>IF($A$7=$A$100,(SUMIFS('Historic Employment Monthly'!$B77:$BS77,'Historic Employment Monthly'!$B$79:$BS$79,2,'Historic Employment Monthly'!$B$80:$BS$80,VALUE(LEFT('Financial Year Employment'!G$7,4)))+SUMIFS('Historic Employment Monthly'!$B77:$BS77,'Historic Employment Monthly'!$B$79:$BS$79,1,'Historic Employment Monthly'!$B$80:$BS$80,VALUE(CONCATENATE("20",RIGHT('Financial Year Employment'!G$7,2)))))/2,(SUMIFS('Historic Employment Monthly'!$B166:$BS166,'Historic Employment Monthly'!$B$79:$BS$79,2,'Historic Employment Monthly'!$B$80:$BS$80,VALUE(LEFT('Financial Year Employment'!G$7,4)))+SUMIFS('Historic Employment Monthly'!$B166:$BS166,'Historic Employment Monthly'!$B$79:$BS$79,1,'Historic Employment Monthly'!$B$80:$BS$80,VALUE(CONCATENATE("20",RIGHT('Financial Year Employment'!G$7,2)))))/2)</f>
        <v>1811.5</v>
      </c>
      <c r="H19" s="442">
        <f>IF($A$7=$A$100,(SUMIFS('Historic Employment Monthly'!$B77:$BS77,'Historic Employment Monthly'!$B$79:$BS$79,2,'Historic Employment Monthly'!$B$80:$BS$80,VALUE(LEFT('Financial Year Employment'!H$7,4)))+SUMIFS('Historic Employment Monthly'!$B77:$BS77,'Historic Employment Monthly'!$B$79:$BS$79,1,'Historic Employment Monthly'!$B$80:$BS$80,VALUE(CONCATENATE("20",RIGHT('Financial Year Employment'!H$7,2)))))/2,(SUMIFS('Historic Employment Monthly'!$B166:$BS166,'Historic Employment Monthly'!$B$79:$BS$79,2,'Historic Employment Monthly'!$B$80:$BS$80,VALUE(LEFT('Financial Year Employment'!H$7,4)))+SUMIFS('Historic Employment Monthly'!$B166:$BS166,'Historic Employment Monthly'!$B$79:$BS$79,1,'Historic Employment Monthly'!$B$80:$BS$80,VALUE(CONCATENATE("20",RIGHT('Financial Year Employment'!H$7,2)))))/2)</f>
        <v>1697.8333333333335</v>
      </c>
      <c r="I19" s="442">
        <f>IF($A$7=$A$100,(SUMIFS('Historic Employment Monthly'!$B77:$BS77,'Historic Employment Monthly'!$B$79:$BS$79,2,'Historic Employment Monthly'!$B$80:$BS$80,VALUE(LEFT('Financial Year Employment'!I$7,4)))+SUMIFS('Historic Employment Monthly'!$B77:$BS77,'Historic Employment Monthly'!$B$79:$BS$79,1,'Historic Employment Monthly'!$B$80:$BS$80,VALUE(CONCATENATE("20",RIGHT('Financial Year Employment'!I$7,2)))))/2,(SUMIFS('Historic Employment Monthly'!$B166:$BS166,'Historic Employment Monthly'!$B$79:$BS$79,2,'Historic Employment Monthly'!$B$80:$BS$80,VALUE(LEFT('Financial Year Employment'!I$7,4)))+SUMIFS('Historic Employment Monthly'!$B166:$BS166,'Historic Employment Monthly'!$B$79:$BS$79,1,'Historic Employment Monthly'!$B$80:$BS$80,VALUE(CONCATENATE("20",RIGHT('Financial Year Employment'!I$7,2)))))/2)</f>
        <v>1976.4166666666667</v>
      </c>
      <c r="J19" s="442">
        <f>IF($A$7=$A$100,(SUMIFS('Historic Employment Monthly'!$B77:$BS77,'Historic Employment Monthly'!$B$79:$BS$79,2,'Historic Employment Monthly'!$B$80:$BS$80,VALUE(LEFT('Financial Year Employment'!J$7,4)))+SUMIFS('Historic Employment Monthly'!$B77:$BS77,'Historic Employment Monthly'!$B$79:$BS$79,1,'Historic Employment Monthly'!$B$80:$BS$80,VALUE(CONCATENATE("20",RIGHT('Financial Year Employment'!J$7,2)))))/2,(SUMIFS('Historic Employment Monthly'!$B166:$BS166,'Historic Employment Monthly'!$B$79:$BS$79,2,'Historic Employment Monthly'!$B$80:$BS$80,VALUE(LEFT('Financial Year Employment'!J$7,4)))+SUMIFS('Historic Employment Monthly'!$B166:$BS166,'Historic Employment Monthly'!$B$79:$BS$79,1,'Historic Employment Monthly'!$B$80:$BS$80,VALUE(CONCATENATE("20",RIGHT('Financial Year Employment'!J$7,2)))))/2)</f>
        <v>2436.833333333333</v>
      </c>
      <c r="K19" s="442">
        <f>IF($A$7=$A$100,(SUMIFS('Historic Employment Monthly'!$B77:$BS77,'Historic Employment Monthly'!$B$79:$BS$79,2,'Historic Employment Monthly'!$B$80:$BS$80,VALUE(LEFT('Financial Year Employment'!K$7,4)))+SUMIFS('Historic Employment Monthly'!$B77:$BS77,'Historic Employment Monthly'!$B$79:$BS$79,1,'Historic Employment Monthly'!$B$80:$BS$80,VALUE(CONCATENATE("20",RIGHT('Financial Year Employment'!K$7,2)))))/2,(SUMIFS('Historic Employment Monthly'!$B166:$BS166,'Historic Employment Monthly'!$B$79:$BS$79,2,'Historic Employment Monthly'!$B$80:$BS$80,VALUE(LEFT('Financial Year Employment'!K$7,4)))+SUMIFS('Historic Employment Monthly'!$B166:$BS166,'Historic Employment Monthly'!$B$79:$BS$79,1,'Historic Employment Monthly'!$B$80:$BS$80,VALUE(CONCATENATE("20",RIGHT('Financial Year Employment'!K$7,2)))))/2)</f>
        <v>2395.25</v>
      </c>
      <c r="L19" s="442">
        <f>IF($A$7=$A$100,(SUMIFS('Historic Employment Monthly'!$B77:$BS77,'Historic Employment Monthly'!$B$79:$BS$79,2,'Historic Employment Monthly'!$B$80:$BS$80,VALUE(LEFT('Financial Year Employment'!L$7,4)))+SUMIFS('Historic Employment Monthly'!$B77:$BS77,'Historic Employment Monthly'!$B$79:$BS$79,1,'Historic Employment Monthly'!$B$80:$BS$80,VALUE(CONCATENATE("20",RIGHT('Financial Year Employment'!L$7,2)))))/2,(SUMIFS('Historic Employment Monthly'!$B166:$BS166,'Historic Employment Monthly'!$B$79:$BS$79,2,'Historic Employment Monthly'!$B$80:$BS$80,VALUE(LEFT('Financial Year Employment'!L$7,4)))+SUMIFS('Historic Employment Monthly'!$B166:$BS166,'Historic Employment Monthly'!$B$79:$BS$79,1,'Historic Employment Monthly'!$B$80:$BS$80,VALUE(CONCATENATE("20",RIGHT('Financial Year Employment'!L$7,2)))))/2)</f>
        <v>3455.5</v>
      </c>
      <c r="M19" s="442">
        <f>IF($A$7=$A$100,(SUMIFS('Historic Employment Monthly'!$B77:$BS77,'Historic Employment Monthly'!$B$79:$BS$79,2,'Historic Employment Monthly'!$B$80:$BS$80,VALUE(LEFT('Financial Year Employment'!M$7,4)))+SUMIFS('Historic Employment Monthly'!$B77:$BS77,'Historic Employment Monthly'!$B$79:$BS$79,1,'Historic Employment Monthly'!$B$80:$BS$80,VALUE(CONCATENATE("20",RIGHT('Financial Year Employment'!M$7,2)))))/2,(SUMIFS('Historic Employment Monthly'!$B166:$BS166,'Historic Employment Monthly'!$B$79:$BS$79,2,'Historic Employment Monthly'!$B$80:$BS$80,VALUE(LEFT('Financial Year Employment'!M$7,4)))+SUMIFS('Historic Employment Monthly'!$B166:$BS166,'Historic Employment Monthly'!$B$79:$BS$79,1,'Historic Employment Monthly'!$B$80:$BS$80,VALUE(CONCATENATE("20",RIGHT('Financial Year Employment'!M$7,2)))))/2)</f>
        <v>3885.6666666666665</v>
      </c>
      <c r="N19" s="442">
        <f>IF($A$7=$A$100,(SUMIFS('Historic Employment Monthly'!$B77:$BS77,'Historic Employment Monthly'!$B$79:$BS$79,2,'Historic Employment Monthly'!$B$80:$BS$80,VALUE(LEFT('Financial Year Employment'!N$7,4)))+SUMIFS('Historic Employment Monthly'!$B77:$BS77,'Historic Employment Monthly'!$B$79:$BS$79,1,'Historic Employment Monthly'!$B$80:$BS$80,VALUE(CONCATENATE("20",RIGHT('Financial Year Employment'!N$7,2)))))/2,(SUMIFS('Historic Employment Monthly'!$B166:$BS166,'Historic Employment Monthly'!$B$79:$BS$79,2,'Historic Employment Monthly'!$B$80:$BS$80,VALUE(LEFT('Financial Year Employment'!N$7,4)))+SUMIFS('Historic Employment Monthly'!$B166:$BS166,'Historic Employment Monthly'!$B$79:$BS$79,1,'Historic Employment Monthly'!$B$80:$BS$80,VALUE(CONCATENATE("20",RIGHT('Financial Year Employment'!N$7,2)))))/2)</f>
        <v>3541.5</v>
      </c>
      <c r="O19" s="442">
        <f>IF($A$7=$A$100,(SUMIFS('Historic Employment Monthly'!$B77:$BS77,'Historic Employment Monthly'!$B$79:$BS$79,2,'Historic Employment Monthly'!$B$80:$BS$80,VALUE(LEFT('Financial Year Employment'!O$7,4)))+SUMIFS('Historic Employment Monthly'!$B77:$BS77,'Historic Employment Monthly'!$B$79:$BS$79,1,'Historic Employment Monthly'!$B$80:$BS$80,VALUE(CONCATENATE("20",RIGHT('Financial Year Employment'!O$7,2)))))/2,(SUMIFS('Historic Employment Monthly'!$B166:$BS166,'Historic Employment Monthly'!$B$79:$BS$79,2,'Historic Employment Monthly'!$B$80:$BS$80,VALUE(LEFT('Financial Year Employment'!O$7,4)))+SUMIFS('Historic Employment Monthly'!$B166:$BS166,'Historic Employment Monthly'!$B$79:$BS$79,1,'Historic Employment Monthly'!$B$80:$BS$80,VALUE(CONCATENATE("20",RIGHT('Financial Year Employment'!O$7,2)))))/2)</f>
        <v>3494.5</v>
      </c>
      <c r="P19" s="442">
        <f>IF($A$7=$A$100,(SUMIFS('Historic Employment Monthly'!$B77:$BS77,'Historic Employment Monthly'!$B$79:$BS$79,2,'Historic Employment Monthly'!$B$80:$BS$80,VALUE(LEFT('Financial Year Employment'!P$7,4)))+SUMIFS('Historic Employment Monthly'!$B77:$BS77,'Historic Employment Monthly'!$B$79:$BS$79,1,'Historic Employment Monthly'!$B$80:$BS$80,VALUE(CONCATENATE("20",RIGHT('Financial Year Employment'!P$7,2)))))/2,(SUMIFS('Historic Employment Monthly'!$B166:$BS166,'Historic Employment Monthly'!$B$79:$BS$79,2,'Historic Employment Monthly'!$B$80:$BS$80,VALUE(LEFT('Financial Year Employment'!P$7,4)))+SUMIFS('Historic Employment Monthly'!$B166:$BS166,'Historic Employment Monthly'!$B$79:$BS$79,1,'Historic Employment Monthly'!$B$80:$BS$80,VALUE(CONCATENATE("20",RIGHT('Financial Year Employment'!P$7,2)))))/2)</f>
        <v>3234.1666666666665</v>
      </c>
      <c r="Q19" s="353">
        <f>IF($A$7=$A$100,(SUMIFS('Historic Employment Monthly'!$B77:$BS77,'Historic Employment Monthly'!$B$79:$BS$79,2,'Historic Employment Monthly'!$B$80:$BS$80,VALUE(LEFT('Financial Year Employment'!Q$7,4)))+SUMIFS('Historic Employment Monthly'!$B77:$BS77,'Historic Employment Monthly'!$B$79:$BS$79,1,'Historic Employment Monthly'!$B$80:$BS$80,VALUE(CONCATENATE("20",RIGHT('Financial Year Employment'!Q$7,2)))))/2,(SUMIFS('Historic Employment Monthly'!$B166:$BS166,'Historic Employment Monthly'!$B$79:$BS$79,2,'Historic Employment Monthly'!$B$80:$BS$80,VALUE(LEFT('Financial Year Employment'!Q$7,4)))+SUMIFS('Historic Employment Monthly'!$B166:$BS166,'Historic Employment Monthly'!$B$79:$BS$79,1,'Historic Employment Monthly'!$B$80:$BS$80,VALUE(CONCATENATE("20",RIGHT('Financial Year Employment'!Q$7,2)))))/2)</f>
        <v>2815.583333333333</v>
      </c>
      <c r="S19" s="229"/>
      <c r="T19" s="228"/>
      <c r="U19" s="229"/>
    </row>
    <row r="20" spans="1:21" s="184" customFormat="1" ht="15.75" thickBot="1">
      <c r="A20" s="160" t="s">
        <v>322</v>
      </c>
      <c r="B20" s="346"/>
      <c r="C20" s="345">
        <f>IF($A$7=$A$100,(SUMIFS('Historic Employment Monthly'!$B76:$BS76,'Historic Employment Monthly'!$B$79:$BS$79,2,'Historic Employment Monthly'!$B$80:$BS$80,VALUE(LEFT('Financial Year Employment'!C$7,4)))+SUMIFS('Historic Employment Monthly'!$B76:$BS76,'Historic Employment Monthly'!$B$79:$BS$79,1,'Historic Employment Monthly'!$B$80:$BS$80,VALUE(CONCATENATE("20",RIGHT('Financial Year Employment'!C$7,2)))))/2,(SUMIFS('Historic Employment Monthly'!$B165:$BS165,'Historic Employment Monthly'!$B$79:$BS$79,2,'Historic Employment Monthly'!$B$80:$BS$80,VALUE(LEFT('Financial Year Employment'!C$7,4)))+SUMIFS('Historic Employment Monthly'!$B165:$BS165,'Historic Employment Monthly'!$B$79:$BS$79,1,'Historic Employment Monthly'!$B$80:$BS$80,VALUE(CONCATENATE("20",RIGHT('Financial Year Employment'!C$7,2)))))/2)</f>
        <v>589.75</v>
      </c>
      <c r="D20" s="345">
        <f>IF($A$7=$A$100,(SUMIFS('Historic Employment Monthly'!$B76:$BS76,'Historic Employment Monthly'!$B$79:$BS$79,2,'Historic Employment Monthly'!$B$80:$BS$80,VALUE(LEFT('Financial Year Employment'!D$7,4)))+SUMIFS('Historic Employment Monthly'!$B76:$BS76,'Historic Employment Monthly'!$B$79:$BS$79,1,'Historic Employment Monthly'!$B$80:$BS$80,VALUE(CONCATENATE("20",RIGHT('Financial Year Employment'!D$7,2)))))/2,(SUMIFS('Historic Employment Monthly'!$B165:$BS165,'Historic Employment Monthly'!$B$79:$BS$79,2,'Historic Employment Monthly'!$B$80:$BS$80,VALUE(LEFT('Financial Year Employment'!D$7,4)))+SUMIFS('Historic Employment Monthly'!$B165:$BS165,'Historic Employment Monthly'!$B$79:$BS$79,1,'Historic Employment Monthly'!$B$80:$BS$80,VALUE(CONCATENATE("20",RIGHT('Financial Year Employment'!D$7,2)))))/2)</f>
        <v>564.25</v>
      </c>
      <c r="E20" s="345">
        <f>IF($A$7=$A$100,(SUMIFS('Historic Employment Monthly'!$B76:$BS76,'Historic Employment Monthly'!$B$79:$BS$79,2,'Historic Employment Monthly'!$B$80:$BS$80,VALUE(LEFT('Financial Year Employment'!E$7,4)))+SUMIFS('Historic Employment Monthly'!$B76:$BS76,'Historic Employment Monthly'!$B$79:$BS$79,1,'Historic Employment Monthly'!$B$80:$BS$80,VALUE(CONCATENATE("20",RIGHT('Financial Year Employment'!E$7,2)))))/2,(SUMIFS('Historic Employment Monthly'!$B165:$BS165,'Historic Employment Monthly'!$B$79:$BS$79,2,'Historic Employment Monthly'!$B$80:$BS$80,VALUE(LEFT('Financial Year Employment'!E$7,4)))+SUMIFS('Historic Employment Monthly'!$B165:$BS165,'Historic Employment Monthly'!$B$79:$BS$79,1,'Historic Employment Monthly'!$B$80:$BS$80,VALUE(CONCATENATE("20",RIGHT('Financial Year Employment'!E$7,2)))))/2)</f>
        <v>535</v>
      </c>
      <c r="F20" s="345">
        <f>IF($A$7=$A$100,(SUMIFS('Historic Employment Monthly'!$B76:$BS76,'Historic Employment Monthly'!$B$79:$BS$79,2,'Historic Employment Monthly'!$B$80:$BS$80,VALUE(LEFT('Financial Year Employment'!F$7,4)))+SUMIFS('Historic Employment Monthly'!$B76:$BS76,'Historic Employment Monthly'!$B$79:$BS$79,1,'Historic Employment Monthly'!$B$80:$BS$80,VALUE(CONCATENATE("20",RIGHT('Financial Year Employment'!F$7,2)))))/2,(SUMIFS('Historic Employment Monthly'!$B165:$BS165,'Historic Employment Monthly'!$B$79:$BS$79,2,'Historic Employment Monthly'!$B$80:$BS$80,VALUE(LEFT('Financial Year Employment'!F$7,4)))+SUMIFS('Historic Employment Monthly'!$B165:$BS165,'Historic Employment Monthly'!$B$79:$BS$79,1,'Historic Employment Monthly'!$B$80:$BS$80,VALUE(CONCATENATE("20",RIGHT('Financial Year Employment'!F$7,2)))))/2)</f>
        <v>722.25</v>
      </c>
      <c r="G20" s="345">
        <f>IF($A$7=$A$100,(SUMIFS('Historic Employment Monthly'!$B76:$BS76,'Historic Employment Monthly'!$B$79:$BS$79,2,'Historic Employment Monthly'!$B$80:$BS$80,VALUE(LEFT('Financial Year Employment'!G$7,4)))+SUMIFS('Historic Employment Monthly'!$B76:$BS76,'Historic Employment Monthly'!$B$79:$BS$79,1,'Historic Employment Monthly'!$B$80:$BS$80,VALUE(CONCATENATE("20",RIGHT('Financial Year Employment'!G$7,2)))))/2,(SUMIFS('Historic Employment Monthly'!$B165:$BS165,'Historic Employment Monthly'!$B$79:$BS$79,2,'Historic Employment Monthly'!$B$80:$BS$80,VALUE(LEFT('Financial Year Employment'!G$7,4)))+SUMIFS('Historic Employment Monthly'!$B165:$BS165,'Historic Employment Monthly'!$B$79:$BS$79,1,'Historic Employment Monthly'!$B$80:$BS$80,VALUE(CONCATENATE("20",RIGHT('Financial Year Employment'!G$7,2)))))/2)</f>
        <v>751.66666666666674</v>
      </c>
      <c r="H20" s="345">
        <f>IF($A$7=$A$100,(SUMIFS('Historic Employment Monthly'!$B76:$BS76,'Historic Employment Monthly'!$B$79:$BS$79,2,'Historic Employment Monthly'!$B$80:$BS$80,VALUE(LEFT('Financial Year Employment'!H$7,4)))+SUMIFS('Historic Employment Monthly'!$B76:$BS76,'Historic Employment Monthly'!$B$79:$BS$79,1,'Historic Employment Monthly'!$B$80:$BS$80,VALUE(CONCATENATE("20",RIGHT('Financial Year Employment'!H$7,2)))))/2,(SUMIFS('Historic Employment Monthly'!$B165:$BS165,'Historic Employment Monthly'!$B$79:$BS$79,2,'Historic Employment Monthly'!$B$80:$BS$80,VALUE(LEFT('Financial Year Employment'!H$7,4)))+SUMIFS('Historic Employment Monthly'!$B165:$BS165,'Historic Employment Monthly'!$B$79:$BS$79,1,'Historic Employment Monthly'!$B$80:$BS$80,VALUE(CONCATENATE("20",RIGHT('Financial Year Employment'!H$7,2)))))/2)</f>
        <v>1168.0833333333335</v>
      </c>
      <c r="I20" s="345">
        <f>IF($A$7=$A$100,(SUMIFS('Historic Employment Monthly'!$B76:$BS76,'Historic Employment Monthly'!$B$79:$BS$79,2,'Historic Employment Monthly'!$B$80:$BS$80,VALUE(LEFT('Financial Year Employment'!I$7,4)))+SUMIFS('Historic Employment Monthly'!$B76:$BS76,'Historic Employment Monthly'!$B$79:$BS$79,1,'Historic Employment Monthly'!$B$80:$BS$80,VALUE(CONCATENATE("20",RIGHT('Financial Year Employment'!I$7,2)))))/2,(SUMIFS('Historic Employment Monthly'!$B165:$BS165,'Historic Employment Monthly'!$B$79:$BS$79,2,'Historic Employment Monthly'!$B$80:$BS$80,VALUE(LEFT('Financial Year Employment'!I$7,4)))+SUMIFS('Historic Employment Monthly'!$B165:$BS165,'Historic Employment Monthly'!$B$79:$BS$79,1,'Historic Employment Monthly'!$B$80:$BS$80,VALUE(CONCATENATE("20",RIGHT('Financial Year Employment'!I$7,2)))))/2)</f>
        <v>1814.0833333333335</v>
      </c>
      <c r="J20" s="345">
        <f>IF($A$7=$A$100,(SUMIFS('Historic Employment Monthly'!$B76:$BS76,'Historic Employment Monthly'!$B$79:$BS$79,2,'Historic Employment Monthly'!$B$80:$BS$80,VALUE(LEFT('Financial Year Employment'!J$7,4)))+SUMIFS('Historic Employment Monthly'!$B76:$BS76,'Historic Employment Monthly'!$B$79:$BS$79,1,'Historic Employment Monthly'!$B$80:$BS$80,VALUE(CONCATENATE("20",RIGHT('Financial Year Employment'!J$7,2)))))/2,(SUMIFS('Historic Employment Monthly'!$B165:$BS165,'Historic Employment Monthly'!$B$79:$BS$79,2,'Historic Employment Monthly'!$B$80:$BS$80,VALUE(LEFT('Financial Year Employment'!J$7,4)))+SUMIFS('Historic Employment Monthly'!$B165:$BS165,'Historic Employment Monthly'!$B$79:$BS$79,1,'Historic Employment Monthly'!$B$80:$BS$80,VALUE(CONCATENATE("20",RIGHT('Financial Year Employment'!J$7,2)))))/2)</f>
        <v>2319.166666666667</v>
      </c>
      <c r="K20" s="345">
        <f>IF($A$7=$A$100,(SUMIFS('Historic Employment Monthly'!$B76:$BS76,'Historic Employment Monthly'!$B$79:$BS$79,2,'Historic Employment Monthly'!$B$80:$BS$80,VALUE(LEFT('Financial Year Employment'!K$7,4)))+SUMIFS('Historic Employment Monthly'!$B76:$BS76,'Historic Employment Monthly'!$B$79:$BS$79,1,'Historic Employment Monthly'!$B$80:$BS$80,VALUE(CONCATENATE("20",RIGHT('Financial Year Employment'!K$7,2)))))/2,(SUMIFS('Historic Employment Monthly'!$B165:$BS165,'Historic Employment Monthly'!$B$79:$BS$79,2,'Historic Employment Monthly'!$B$80:$BS$80,VALUE(LEFT('Financial Year Employment'!K$7,4)))+SUMIFS('Historic Employment Monthly'!$B165:$BS165,'Historic Employment Monthly'!$B$79:$BS$79,1,'Historic Employment Monthly'!$B$80:$BS$80,VALUE(CONCATENATE("20",RIGHT('Financial Year Employment'!K$7,2)))))/2)</f>
        <v>2813.333333333333</v>
      </c>
      <c r="L20" s="345">
        <f>IF($A$7=$A$100,(SUMIFS('Historic Employment Monthly'!$B76:$BS76,'Historic Employment Monthly'!$B$79:$BS$79,2,'Historic Employment Monthly'!$B$80:$BS$80,VALUE(LEFT('Financial Year Employment'!L$7,4)))+SUMIFS('Historic Employment Monthly'!$B76:$BS76,'Historic Employment Monthly'!$B$79:$BS$79,1,'Historic Employment Monthly'!$B$80:$BS$80,VALUE(CONCATENATE("20",RIGHT('Financial Year Employment'!L$7,2)))))/2,(SUMIFS('Historic Employment Monthly'!$B165:$BS165,'Historic Employment Monthly'!$B$79:$BS$79,2,'Historic Employment Monthly'!$B$80:$BS$80,VALUE(LEFT('Financial Year Employment'!L$7,4)))+SUMIFS('Historic Employment Monthly'!$B165:$BS165,'Historic Employment Monthly'!$B$79:$BS$79,1,'Historic Employment Monthly'!$B$80:$BS$80,VALUE(CONCATENATE("20",RIGHT('Financial Year Employment'!L$7,2)))))/2)</f>
        <v>3338.416666666667</v>
      </c>
      <c r="M20" s="345">
        <f>IF($A$7=$A$100,(SUMIFS('Historic Employment Monthly'!$B76:$BS76,'Historic Employment Monthly'!$B$79:$BS$79,2,'Historic Employment Monthly'!$B$80:$BS$80,VALUE(LEFT('Financial Year Employment'!M$7,4)))+SUMIFS('Historic Employment Monthly'!$B76:$BS76,'Historic Employment Monthly'!$B$79:$BS$79,1,'Historic Employment Monthly'!$B$80:$BS$80,VALUE(CONCATENATE("20",RIGHT('Financial Year Employment'!M$7,2)))))/2,(SUMIFS('Historic Employment Monthly'!$B165:$BS165,'Historic Employment Monthly'!$B$79:$BS$79,2,'Historic Employment Monthly'!$B$80:$BS$80,VALUE(LEFT('Financial Year Employment'!M$7,4)))+SUMIFS('Historic Employment Monthly'!$B165:$BS165,'Historic Employment Monthly'!$B$79:$BS$79,1,'Historic Employment Monthly'!$B$80:$BS$80,VALUE(CONCATENATE("20",RIGHT('Financial Year Employment'!M$7,2)))))/2)</f>
        <v>3652.666666666667</v>
      </c>
      <c r="N20" s="345">
        <f>IF($A$7=$A$100,(SUMIFS('Historic Employment Monthly'!$B76:$BS76,'Historic Employment Monthly'!$B$79:$BS$79,2,'Historic Employment Monthly'!$B$80:$BS$80,VALUE(LEFT('Financial Year Employment'!N$7,4)))+SUMIFS('Historic Employment Monthly'!$B76:$BS76,'Historic Employment Monthly'!$B$79:$BS$79,1,'Historic Employment Monthly'!$B$80:$BS$80,VALUE(CONCATENATE("20",RIGHT('Financial Year Employment'!N$7,2)))))/2,(SUMIFS('Historic Employment Monthly'!$B165:$BS165,'Historic Employment Monthly'!$B$79:$BS$79,2,'Historic Employment Monthly'!$B$80:$BS$80,VALUE(LEFT('Financial Year Employment'!N$7,4)))+SUMIFS('Historic Employment Monthly'!$B165:$BS165,'Historic Employment Monthly'!$B$79:$BS$79,1,'Historic Employment Monthly'!$B$80:$BS$80,VALUE(CONCATENATE("20",RIGHT('Financial Year Employment'!N$7,2)))))/2)</f>
        <v>2646.416666666667</v>
      </c>
      <c r="O20" s="345">
        <f>IF($A$7=$A$100,(SUMIFS('Historic Employment Monthly'!$B76:$BS76,'Historic Employment Monthly'!$B$79:$BS$79,2,'Historic Employment Monthly'!$B$80:$BS$80,VALUE(LEFT('Financial Year Employment'!O$7,4)))+SUMIFS('Historic Employment Monthly'!$B76:$BS76,'Historic Employment Monthly'!$B$79:$BS$79,1,'Historic Employment Monthly'!$B$80:$BS$80,VALUE(CONCATENATE("20",RIGHT('Financial Year Employment'!O$7,2)))))/2,(SUMIFS('Historic Employment Monthly'!$B165:$BS165,'Historic Employment Monthly'!$B$79:$BS$79,2,'Historic Employment Monthly'!$B$80:$BS$80,VALUE(LEFT('Financial Year Employment'!O$7,4)))+SUMIFS('Historic Employment Monthly'!$B165:$BS165,'Historic Employment Monthly'!$B$79:$BS$79,1,'Historic Employment Monthly'!$B$80:$BS$80,VALUE(CONCATENATE("20",RIGHT('Financial Year Employment'!O$7,2)))))/2)</f>
        <v>2319.583333333333</v>
      </c>
      <c r="P20" s="345">
        <f>IF($A$7=$A$100,(SUMIFS('Historic Employment Monthly'!$B76:$BS76,'Historic Employment Monthly'!$B$79:$BS$79,2,'Historic Employment Monthly'!$B$80:$BS$80,VALUE(LEFT('Financial Year Employment'!P$7,4)))+SUMIFS('Historic Employment Monthly'!$B76:$BS76,'Historic Employment Monthly'!$B$79:$BS$79,1,'Historic Employment Monthly'!$B$80:$BS$80,VALUE(CONCATENATE("20",RIGHT('Financial Year Employment'!P$7,2)))))/2,(SUMIFS('Historic Employment Monthly'!$B165:$BS165,'Historic Employment Monthly'!$B$79:$BS$79,2,'Historic Employment Monthly'!$B$80:$BS$80,VALUE(LEFT('Financial Year Employment'!P$7,4)))+SUMIFS('Historic Employment Monthly'!$B165:$BS165,'Historic Employment Monthly'!$B$79:$BS$79,1,'Historic Employment Monthly'!$B$80:$BS$80,VALUE(CONCATENATE("20",RIGHT('Financial Year Employment'!P$7,2)))))/2)</f>
        <v>2178.416666666667</v>
      </c>
      <c r="Q20" s="25">
        <f>IF($A$7=$A$100,(SUMIFS('Historic Employment Monthly'!$B76:$BS76,'Historic Employment Monthly'!$B$79:$BS$79,2,'Historic Employment Monthly'!$B$80:$BS$80,VALUE(LEFT('Financial Year Employment'!Q$7,4)))+SUMIFS('Historic Employment Monthly'!$B76:$BS76,'Historic Employment Monthly'!$B$79:$BS$79,1,'Historic Employment Monthly'!$B$80:$BS$80,VALUE(CONCATENATE("20",RIGHT('Financial Year Employment'!Q$7,2)))))/2,(SUMIFS('Historic Employment Monthly'!$B165:$BS165,'Historic Employment Monthly'!$B$79:$BS$79,2,'Historic Employment Monthly'!$B$80:$BS$80,VALUE(LEFT('Financial Year Employment'!Q$7,4)))+SUMIFS('Historic Employment Monthly'!$B165:$BS165,'Historic Employment Monthly'!$B$79:$BS$79,1,'Historic Employment Monthly'!$B$80:$BS$80,VALUE(CONCATENATE("20",RIGHT('Financial Year Employment'!Q$7,2)))))/2)</f>
        <v>2167.25</v>
      </c>
      <c r="S20" s="229"/>
      <c r="T20" s="228"/>
      <c r="U20" s="229"/>
    </row>
    <row r="21" spans="1:21" s="184" customFormat="1" ht="16.5" thickTop="1" thickBot="1">
      <c r="A21" s="162" t="s">
        <v>431</v>
      </c>
      <c r="B21" s="436"/>
      <c r="C21" s="436">
        <f>IF($A$7=$A$100,(SUMIFS('Historic Employment Monthly'!$B78:$BS78,'Historic Employment Monthly'!$B$79:$BS$79,2,'Historic Employment Monthly'!$B$80:$BS$80,VALUE(LEFT('Financial Year Employment'!C$7,4)))+SUMIFS('Historic Employment Monthly'!$B78:$BS78,'Historic Employment Monthly'!$B$79:$BS$79,1,'Historic Employment Monthly'!$B$80:$BS$80,VALUE(CONCATENATE("20",RIGHT('Financial Year Employment'!C$7,2)))))/2,(SUMIFS('Historic Employment Monthly'!$B167:$BS167,'Historic Employment Monthly'!$B$79:$BS$79,2,'Historic Employment Monthly'!$B$80:$BS$80,VALUE(LEFT('Financial Year Employment'!C$7,4)))+SUMIFS('Historic Employment Monthly'!$B167:$BS167,'Historic Employment Monthly'!$B$79:$BS$79,1,'Historic Employment Monthly'!$B$80:$BS$80,VALUE(CONCATENATE("20",RIGHT('Financial Year Employment'!C$7,2)))))/2)</f>
        <v>40969.333333333328</v>
      </c>
      <c r="D21" s="436">
        <f>IF($A$7=$A$100,(SUMIFS('Historic Employment Monthly'!$B78:$BS78,'Historic Employment Monthly'!$B$79:$BS$79,2,'Historic Employment Monthly'!$B$80:$BS$80,VALUE(LEFT('Financial Year Employment'!D$7,4)))+SUMIFS('Historic Employment Monthly'!$B78:$BS78,'Historic Employment Monthly'!$B$79:$BS$79,1,'Historic Employment Monthly'!$B$80:$BS$80,VALUE(CONCATENATE("20",RIGHT('Financial Year Employment'!D$7,2)))))/2,(SUMIFS('Historic Employment Monthly'!$B167:$BS167,'Historic Employment Monthly'!$B$79:$BS$79,2,'Historic Employment Monthly'!$B$80:$BS$80,VALUE(LEFT('Financial Year Employment'!D$7,4)))+SUMIFS('Historic Employment Monthly'!$B167:$BS167,'Historic Employment Monthly'!$B$79:$BS$79,1,'Historic Employment Monthly'!$B$80:$BS$80,VALUE(CONCATENATE("20",RIGHT('Financial Year Employment'!D$7,2)))))/2)</f>
        <v>42941.666666666664</v>
      </c>
      <c r="E21" s="436">
        <f>IF($A$7=$A$100,(SUMIFS('Historic Employment Monthly'!$B78:$BS78,'Historic Employment Monthly'!$B$79:$BS$79,2,'Historic Employment Monthly'!$B$80:$BS$80,VALUE(LEFT('Financial Year Employment'!E$7,4)))+SUMIFS('Historic Employment Monthly'!$B78:$BS78,'Historic Employment Monthly'!$B$79:$BS$79,1,'Historic Employment Monthly'!$B$80:$BS$80,VALUE(CONCATENATE("20",RIGHT('Financial Year Employment'!E$7,2)))))/2,(SUMIFS('Historic Employment Monthly'!$B167:$BS167,'Historic Employment Monthly'!$B$79:$BS$79,2,'Historic Employment Monthly'!$B$80:$BS$80,VALUE(LEFT('Financial Year Employment'!E$7,4)))+SUMIFS('Historic Employment Monthly'!$B167:$BS167,'Historic Employment Monthly'!$B$79:$BS$79,1,'Historic Employment Monthly'!$B$80:$BS$80,VALUE(CONCATENATE("20",RIGHT('Financial Year Employment'!E$7,2)))))/2)</f>
        <v>45817.583333333328</v>
      </c>
      <c r="F21" s="436">
        <f>IF($A$7=$A$100,(SUMIFS('Historic Employment Monthly'!$B78:$BS78,'Historic Employment Monthly'!$B$79:$BS$79,2,'Historic Employment Monthly'!$B$80:$BS$80,VALUE(LEFT('Financial Year Employment'!F$7,4)))+SUMIFS('Historic Employment Monthly'!$B78:$BS78,'Historic Employment Monthly'!$B$79:$BS$79,1,'Historic Employment Monthly'!$B$80:$BS$80,VALUE(CONCATENATE("20",RIGHT('Financial Year Employment'!F$7,2)))))/2,(SUMIFS('Historic Employment Monthly'!$B167:$BS167,'Historic Employment Monthly'!$B$79:$BS$79,2,'Historic Employment Monthly'!$B$80:$BS$80,VALUE(LEFT('Financial Year Employment'!F$7,4)))+SUMIFS('Historic Employment Monthly'!$B167:$BS167,'Historic Employment Monthly'!$B$79:$BS$79,1,'Historic Employment Monthly'!$B$80:$BS$80,VALUE(CONCATENATE("20",RIGHT('Financial Year Employment'!F$7,2)))))/2)</f>
        <v>51057.416666666672</v>
      </c>
      <c r="G21" s="436">
        <f>IF($A$7=$A$100,(SUMIFS('Historic Employment Monthly'!$B78:$BS78,'Historic Employment Monthly'!$B$79:$BS$79,2,'Historic Employment Monthly'!$B$80:$BS$80,VALUE(LEFT('Financial Year Employment'!G$7,4)))+SUMIFS('Historic Employment Monthly'!$B78:$BS78,'Historic Employment Monthly'!$B$79:$BS$79,1,'Historic Employment Monthly'!$B$80:$BS$80,VALUE(CONCATENATE("20",RIGHT('Financial Year Employment'!G$7,2)))))/2,(SUMIFS('Historic Employment Monthly'!$B167:$BS167,'Historic Employment Monthly'!$B$79:$BS$79,2,'Historic Employment Monthly'!$B$80:$BS$80,VALUE(LEFT('Financial Year Employment'!G$7,4)))+SUMIFS('Historic Employment Monthly'!$B167:$BS167,'Historic Employment Monthly'!$B$79:$BS$79,1,'Historic Employment Monthly'!$B$80:$BS$80,VALUE(CONCATENATE("20",RIGHT('Financial Year Employment'!G$7,2)))))/2)</f>
        <v>56378.416666666672</v>
      </c>
      <c r="H21" s="436">
        <f>IF($A$7=$A$100,(SUMIFS('Historic Employment Monthly'!$B78:$BS78,'Historic Employment Monthly'!$B$79:$BS$79,2,'Historic Employment Monthly'!$B$80:$BS$80,VALUE(LEFT('Financial Year Employment'!H$7,4)))+SUMIFS('Historic Employment Monthly'!$B78:$BS78,'Historic Employment Monthly'!$B$79:$BS$79,1,'Historic Employment Monthly'!$B$80:$BS$80,VALUE(CONCATENATE("20",RIGHT('Financial Year Employment'!H$7,2)))))/2,(SUMIFS('Historic Employment Monthly'!$B167:$BS167,'Historic Employment Monthly'!$B$79:$BS$79,2,'Historic Employment Monthly'!$B$80:$BS$80,VALUE(LEFT('Financial Year Employment'!H$7,4)))+SUMIFS('Historic Employment Monthly'!$B167:$BS167,'Historic Employment Monthly'!$B$79:$BS$79,1,'Historic Employment Monthly'!$B$80:$BS$80,VALUE(CONCATENATE("20",RIGHT('Financial Year Employment'!H$7,2)))))/2)</f>
        <v>60949.083333333328</v>
      </c>
      <c r="I21" s="436">
        <f>IF($A$7=$A$100,(SUMIFS('Historic Employment Monthly'!$B78:$BS78,'Historic Employment Monthly'!$B$79:$BS$79,2,'Historic Employment Monthly'!$B$80:$BS$80,VALUE(LEFT('Financial Year Employment'!I$7,4)))+SUMIFS('Historic Employment Monthly'!$B78:$BS78,'Historic Employment Monthly'!$B$79:$BS$79,1,'Historic Employment Monthly'!$B$80:$BS$80,VALUE(CONCATENATE("20",RIGHT('Financial Year Employment'!I$7,2)))))/2,(SUMIFS('Historic Employment Monthly'!$B167:$BS167,'Historic Employment Monthly'!$B$79:$BS$79,2,'Historic Employment Monthly'!$B$80:$BS$80,VALUE(LEFT('Financial Year Employment'!I$7,4)))+SUMIFS('Historic Employment Monthly'!$B167:$BS167,'Historic Employment Monthly'!$B$79:$BS$79,1,'Historic Employment Monthly'!$B$80:$BS$80,VALUE(CONCATENATE("20",RIGHT('Financial Year Employment'!I$7,2)))))/2)</f>
        <v>66085.583333333328</v>
      </c>
      <c r="J21" s="436">
        <f>IF($A$7=$A$100,(SUMIFS('Historic Employment Monthly'!$B78:$BS78,'Historic Employment Monthly'!$B$79:$BS$79,2,'Historic Employment Monthly'!$B$80:$BS$80,VALUE(LEFT('Financial Year Employment'!J$7,4)))+SUMIFS('Historic Employment Monthly'!$B78:$BS78,'Historic Employment Monthly'!$B$79:$BS$79,1,'Historic Employment Monthly'!$B$80:$BS$80,VALUE(CONCATENATE("20",RIGHT('Financial Year Employment'!J$7,2)))))/2,(SUMIFS('Historic Employment Monthly'!$B167:$BS167,'Historic Employment Monthly'!$B$79:$BS$79,2,'Historic Employment Monthly'!$B$80:$BS$80,VALUE(LEFT('Financial Year Employment'!J$7,4)))+SUMIFS('Historic Employment Monthly'!$B167:$BS167,'Historic Employment Monthly'!$B$79:$BS$79,1,'Historic Employment Monthly'!$B$80:$BS$80,VALUE(CONCATENATE("20",RIGHT('Financial Year Employment'!J$7,2)))))/2)</f>
        <v>70564.833333333343</v>
      </c>
      <c r="K21" s="436">
        <f>IF($A$7=$A$100,(SUMIFS('Historic Employment Monthly'!$B78:$BS78,'Historic Employment Monthly'!$B$79:$BS$79,2,'Historic Employment Monthly'!$B$80:$BS$80,VALUE(LEFT('Financial Year Employment'!K$7,4)))+SUMIFS('Historic Employment Monthly'!$B78:$BS78,'Historic Employment Monthly'!$B$79:$BS$79,1,'Historic Employment Monthly'!$B$80:$BS$80,VALUE(CONCATENATE("20",RIGHT('Financial Year Employment'!K$7,2)))))/2,(SUMIFS('Historic Employment Monthly'!$B167:$BS167,'Historic Employment Monthly'!$B$79:$BS$79,2,'Historic Employment Monthly'!$B$80:$BS$80,VALUE(LEFT('Financial Year Employment'!K$7,4)))+SUMIFS('Historic Employment Monthly'!$B167:$BS167,'Historic Employment Monthly'!$B$79:$BS$79,1,'Historic Employment Monthly'!$B$80:$BS$80,VALUE(CONCATENATE("20",RIGHT('Financial Year Employment'!K$7,2)))))/2)</f>
        <v>68778.916666666672</v>
      </c>
      <c r="L21" s="436">
        <f>IF($A$7=$A$100,(SUMIFS('Historic Employment Monthly'!$B78:$BS78,'Historic Employment Monthly'!$B$79:$BS$79,2,'Historic Employment Monthly'!$B$80:$BS$80,VALUE(LEFT('Financial Year Employment'!L$7,4)))+SUMIFS('Historic Employment Monthly'!$B78:$BS78,'Historic Employment Monthly'!$B$79:$BS$79,1,'Historic Employment Monthly'!$B$80:$BS$80,VALUE(CONCATENATE("20",RIGHT('Financial Year Employment'!L$7,2)))))/2,(SUMIFS('Historic Employment Monthly'!$B167:$BS167,'Historic Employment Monthly'!$B$79:$BS$79,2,'Historic Employment Monthly'!$B$80:$BS$80,VALUE(LEFT('Financial Year Employment'!L$7,4)))+SUMIFS('Historic Employment Monthly'!$B167:$BS167,'Historic Employment Monthly'!$B$79:$BS$79,1,'Historic Employment Monthly'!$B$80:$BS$80,VALUE(CONCATENATE("20",RIGHT('Financial Year Employment'!L$7,2)))))/2)</f>
        <v>81950.083333333343</v>
      </c>
      <c r="M21" s="436">
        <f>IF($A$7=$A$100,(SUMIFS('Historic Employment Monthly'!$B78:$BS78,'Historic Employment Monthly'!$B$79:$BS$79,2,'Historic Employment Monthly'!$B$80:$BS$80,VALUE(LEFT('Financial Year Employment'!M$7,4)))+SUMIFS('Historic Employment Monthly'!$B78:$BS78,'Historic Employment Monthly'!$B$79:$BS$79,1,'Historic Employment Monthly'!$B$80:$BS$80,VALUE(CONCATENATE("20",RIGHT('Financial Year Employment'!M$7,2)))))/2,(SUMIFS('Historic Employment Monthly'!$B167:$BS167,'Historic Employment Monthly'!$B$79:$BS$79,2,'Historic Employment Monthly'!$B$80:$BS$80,VALUE(LEFT('Financial Year Employment'!M$7,4)))+SUMIFS('Historic Employment Monthly'!$B167:$BS167,'Historic Employment Monthly'!$B$79:$BS$79,1,'Historic Employment Monthly'!$B$80:$BS$80,VALUE(CONCATENATE("20",RIGHT('Financial Year Employment'!M$7,2)))))/2)</f>
        <v>96931.083333333343</v>
      </c>
      <c r="N21" s="436">
        <f>IF($A$7=$A$100,(SUMIFS('Historic Employment Monthly'!$B78:$BS78,'Historic Employment Monthly'!$B$79:$BS$79,2,'Historic Employment Monthly'!$B$80:$BS$80,VALUE(LEFT('Financial Year Employment'!N$7,4)))+SUMIFS('Historic Employment Monthly'!$B78:$BS78,'Historic Employment Monthly'!$B$79:$BS$79,1,'Historic Employment Monthly'!$B$80:$BS$80,VALUE(CONCATENATE("20",RIGHT('Financial Year Employment'!N$7,2)))))/2,(SUMIFS('Historic Employment Monthly'!$B167:$BS167,'Historic Employment Monthly'!$B$79:$BS$79,2,'Historic Employment Monthly'!$B$80:$BS$80,VALUE(LEFT('Financial Year Employment'!N$7,4)))+SUMIFS('Historic Employment Monthly'!$B167:$BS167,'Historic Employment Monthly'!$B$79:$BS$79,1,'Historic Employment Monthly'!$B$80:$BS$80,VALUE(CONCATENATE("20",RIGHT('Financial Year Employment'!N$7,2)))))/2)</f>
        <v>106314.5</v>
      </c>
      <c r="O21" s="436">
        <f>IF($A$7=$A$100,(SUMIFS('Historic Employment Monthly'!$B78:$BS78,'Historic Employment Monthly'!$B$79:$BS$79,2,'Historic Employment Monthly'!$B$80:$BS$80,VALUE(LEFT('Financial Year Employment'!O$7,4)))+SUMIFS('Historic Employment Monthly'!$B78:$BS78,'Historic Employment Monthly'!$B$79:$BS$79,1,'Historic Employment Monthly'!$B$80:$BS$80,VALUE(CONCATENATE("20",RIGHT('Financial Year Employment'!O$7,2)))))/2,(SUMIFS('Historic Employment Monthly'!$B167:$BS167,'Historic Employment Monthly'!$B$79:$BS$79,2,'Historic Employment Monthly'!$B$80:$BS$80,VALUE(LEFT('Financial Year Employment'!O$7,4)))+SUMIFS('Historic Employment Monthly'!$B167:$BS167,'Historic Employment Monthly'!$B$79:$BS$79,1,'Historic Employment Monthly'!$B$80:$BS$80,VALUE(CONCATENATE("20",RIGHT('Financial Year Employment'!O$7,2)))))/2)</f>
        <v>107871</v>
      </c>
      <c r="P21" s="436">
        <f>IF($A$7=$A$100,(SUMIFS('Historic Employment Monthly'!$B78:$BS78,'Historic Employment Monthly'!$B$79:$BS$79,2,'Historic Employment Monthly'!$B$80:$BS$80,VALUE(LEFT('Financial Year Employment'!P$7,4)))+SUMIFS('Historic Employment Monthly'!$B78:$BS78,'Historic Employment Monthly'!$B$79:$BS$79,1,'Historic Employment Monthly'!$B$80:$BS$80,VALUE(CONCATENATE("20",RIGHT('Financial Year Employment'!P$7,2)))))/2,(SUMIFS('Historic Employment Monthly'!$B167:$BS167,'Historic Employment Monthly'!$B$79:$BS$79,2,'Historic Employment Monthly'!$B$80:$BS$80,VALUE(LEFT('Financial Year Employment'!P$7,4)))+SUMIFS('Historic Employment Monthly'!$B167:$BS167,'Historic Employment Monthly'!$B$79:$BS$79,1,'Historic Employment Monthly'!$B$80:$BS$80,VALUE(CONCATENATE("20",RIGHT('Financial Year Employment'!P$7,2)))))/2)</f>
        <v>105513.75</v>
      </c>
      <c r="Q21" s="437">
        <f>IF($A$7=$A$100,(SUMIFS('Historic Employment Monthly'!$B78:$BS78,'Historic Employment Monthly'!$B$79:$BS$79,2,'Historic Employment Monthly'!$B$80:$BS$80,VALUE(LEFT('Financial Year Employment'!Q$7,4)))+SUMIFS('Historic Employment Monthly'!$B78:$BS78,'Historic Employment Monthly'!$B$79:$BS$79,1,'Historic Employment Monthly'!$B$80:$BS$80,VALUE(CONCATENATE("20",RIGHT('Financial Year Employment'!Q$7,2)))))/2,(SUMIFS('Historic Employment Monthly'!$B167:$BS167,'Historic Employment Monthly'!$B$79:$BS$79,2,'Historic Employment Monthly'!$B$80:$BS$80,VALUE(LEFT('Financial Year Employment'!Q$7,4)))+SUMIFS('Historic Employment Monthly'!$B167:$BS167,'Historic Employment Monthly'!$B$79:$BS$79,1,'Historic Employment Monthly'!$B$80:$BS$80,VALUE(CONCATENATE("20",RIGHT('Financial Year Employment'!Q$7,2)))))/2)</f>
        <v>102356.83333333334</v>
      </c>
      <c r="R21" s="347"/>
    </row>
    <row r="22" spans="1:21">
      <c r="A22" s="149"/>
      <c r="B22" s="149"/>
      <c r="C22" s="424"/>
      <c r="P22" s="354"/>
    </row>
    <row r="49" spans="17:21" ht="15.75" thickBot="1"/>
    <row r="50" spans="17:21" ht="15.75" thickBot="1">
      <c r="Q50" s="7" t="s">
        <v>187</v>
      </c>
      <c r="R50" s="23"/>
      <c r="S50" s="23"/>
      <c r="T50" s="23"/>
      <c r="U50" s="4"/>
    </row>
    <row r="51" spans="17:21" ht="15.75" thickBot="1">
      <c r="Q51" s="22" t="s">
        <v>431</v>
      </c>
      <c r="R51" s="10"/>
      <c r="S51" s="10"/>
      <c r="T51" s="10"/>
      <c r="U51" s="3"/>
    </row>
    <row r="52" spans="17:21" ht="3" customHeight="1"/>
    <row r="53" spans="17:21">
      <c r="Q53" s="21" t="s">
        <v>188</v>
      </c>
      <c r="R53" s="21"/>
      <c r="S53" s="21"/>
      <c r="T53" s="21"/>
      <c r="U53" s="21"/>
    </row>
    <row r="100" spans="1:2">
      <c r="A100" s="356" t="s">
        <v>323</v>
      </c>
    </row>
    <row r="101" spans="1:2">
      <c r="A101" s="356" t="s">
        <v>324</v>
      </c>
    </row>
    <row r="102" spans="1:2">
      <c r="B102" s="356"/>
    </row>
    <row r="103" spans="1:2">
      <c r="B103" s="356"/>
    </row>
  </sheetData>
  <mergeCells count="3">
    <mergeCell ref="Q50:U50"/>
    <mergeCell ref="Q51:U51"/>
    <mergeCell ref="Q53:U53"/>
  </mergeCells>
  <dataValidations count="3">
    <dataValidation type="list" allowBlank="1" showInputMessage="1" showErrorMessage="1" sqref="B7">
      <formula1>$A$100:$A$101</formula1>
    </dataValidation>
    <dataValidation type="list" allowBlank="1" showInputMessage="1" showErrorMessage="1" promptTitle="Select a Commodity" prompt="Select a Commodity for graphical display, or total employment." sqref="Q51:U51">
      <formula1>$A$8:$A$21</formula1>
    </dataValidation>
    <dataValidation type="list" allowBlank="1" showInputMessage="1" showErrorMessage="1" promptTitle="Click to Select" prompt="Click to Select between Number of Individuals employed (NoI) of Full Time Equivalent employees (FTE)" sqref="A7">
      <formula1>$A$100:$A$101</formula1>
    </dataValidation>
  </dataValidation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X222"/>
  <sheetViews>
    <sheetView topLeftCell="A3" zoomScaleNormal="100" workbookViewId="0">
      <pane xSplit="1" ySplit="10" topLeftCell="B13" activePane="bottomRight" state="frozen"/>
      <selection activeCell="O30" sqref="O30"/>
      <selection pane="topRight" activeCell="O30" sqref="O30"/>
      <selection pane="bottomLeft" activeCell="O30" sqref="O30"/>
      <selection pane="bottomRight" activeCell="B13" sqref="B13"/>
    </sheetView>
  </sheetViews>
  <sheetFormatPr defaultRowHeight="15"/>
  <cols>
    <col min="1" max="1" width="38.28515625" style="428" customWidth="1"/>
    <col min="2" max="16384" width="9.140625" style="428"/>
  </cols>
  <sheetData>
    <row r="1" spans="1:498" hidden="1">
      <c r="A1" s="428" t="s">
        <v>335</v>
      </c>
      <c r="B1" s="428">
        <f>MONTH(B12)</f>
        <v>1</v>
      </c>
      <c r="C1" s="428">
        <f>MONTH(C12)</f>
        <v>2</v>
      </c>
      <c r="D1" s="428">
        <f t="shared" ref="D1:BO1" si="0">MONTH(D12)</f>
        <v>3</v>
      </c>
      <c r="E1" s="428">
        <f t="shared" si="0"/>
        <v>4</v>
      </c>
      <c r="F1" s="428">
        <f t="shared" si="0"/>
        <v>5</v>
      </c>
      <c r="G1" s="428">
        <f t="shared" si="0"/>
        <v>6</v>
      </c>
      <c r="H1" s="428">
        <f t="shared" si="0"/>
        <v>7</v>
      </c>
      <c r="I1" s="428">
        <f t="shared" si="0"/>
        <v>8</v>
      </c>
      <c r="J1" s="428">
        <f t="shared" si="0"/>
        <v>9</v>
      </c>
      <c r="K1" s="428">
        <f t="shared" si="0"/>
        <v>10</v>
      </c>
      <c r="L1" s="428">
        <f t="shared" si="0"/>
        <v>11</v>
      </c>
      <c r="M1" s="428">
        <f t="shared" si="0"/>
        <v>12</v>
      </c>
      <c r="N1" s="428">
        <f t="shared" si="0"/>
        <v>1</v>
      </c>
      <c r="O1" s="428">
        <f t="shared" si="0"/>
        <v>2</v>
      </c>
      <c r="P1" s="428">
        <f t="shared" si="0"/>
        <v>3</v>
      </c>
      <c r="Q1" s="428">
        <f t="shared" si="0"/>
        <v>4</v>
      </c>
      <c r="R1" s="428">
        <f t="shared" si="0"/>
        <v>5</v>
      </c>
      <c r="S1" s="428">
        <f t="shared" si="0"/>
        <v>6</v>
      </c>
      <c r="T1" s="428">
        <f t="shared" si="0"/>
        <v>7</v>
      </c>
      <c r="U1" s="428">
        <f t="shared" si="0"/>
        <v>8</v>
      </c>
      <c r="V1" s="428">
        <f t="shared" si="0"/>
        <v>9</v>
      </c>
      <c r="W1" s="428">
        <f t="shared" si="0"/>
        <v>10</v>
      </c>
      <c r="X1" s="428">
        <f t="shared" si="0"/>
        <v>11</v>
      </c>
      <c r="Y1" s="428">
        <f t="shared" si="0"/>
        <v>12</v>
      </c>
      <c r="Z1" s="428">
        <f t="shared" si="0"/>
        <v>1</v>
      </c>
      <c r="AA1" s="428">
        <f t="shared" si="0"/>
        <v>2</v>
      </c>
      <c r="AB1" s="428">
        <f t="shared" si="0"/>
        <v>3</v>
      </c>
      <c r="AC1" s="428">
        <f t="shared" si="0"/>
        <v>4</v>
      </c>
      <c r="AD1" s="428">
        <f t="shared" si="0"/>
        <v>5</v>
      </c>
      <c r="AE1" s="428">
        <f t="shared" si="0"/>
        <v>6</v>
      </c>
      <c r="AF1" s="428">
        <f t="shared" si="0"/>
        <v>7</v>
      </c>
      <c r="AG1" s="428">
        <f t="shared" si="0"/>
        <v>8</v>
      </c>
      <c r="AH1" s="428">
        <f t="shared" si="0"/>
        <v>9</v>
      </c>
      <c r="AI1" s="428">
        <f t="shared" si="0"/>
        <v>10</v>
      </c>
      <c r="AJ1" s="428">
        <f t="shared" si="0"/>
        <v>11</v>
      </c>
      <c r="AK1" s="428">
        <f t="shared" si="0"/>
        <v>12</v>
      </c>
      <c r="AL1" s="428">
        <f t="shared" si="0"/>
        <v>1</v>
      </c>
      <c r="AM1" s="428">
        <f t="shared" si="0"/>
        <v>2</v>
      </c>
      <c r="AN1" s="428">
        <f t="shared" si="0"/>
        <v>3</v>
      </c>
      <c r="AO1" s="428">
        <f t="shared" si="0"/>
        <v>4</v>
      </c>
      <c r="AP1" s="428">
        <f t="shared" si="0"/>
        <v>5</v>
      </c>
      <c r="AQ1" s="428">
        <f t="shared" si="0"/>
        <v>6</v>
      </c>
      <c r="AR1" s="428">
        <f t="shared" si="0"/>
        <v>7</v>
      </c>
      <c r="AS1" s="428">
        <f t="shared" si="0"/>
        <v>8</v>
      </c>
      <c r="AT1" s="428">
        <f t="shared" si="0"/>
        <v>9</v>
      </c>
      <c r="AU1" s="428">
        <f t="shared" si="0"/>
        <v>10</v>
      </c>
      <c r="AV1" s="428">
        <f t="shared" si="0"/>
        <v>11</v>
      </c>
      <c r="AW1" s="428">
        <f t="shared" si="0"/>
        <v>12</v>
      </c>
      <c r="AX1" s="428">
        <f t="shared" si="0"/>
        <v>1</v>
      </c>
      <c r="AY1" s="428">
        <f t="shared" si="0"/>
        <v>2</v>
      </c>
      <c r="AZ1" s="428">
        <f t="shared" si="0"/>
        <v>3</v>
      </c>
      <c r="BA1" s="428">
        <f t="shared" si="0"/>
        <v>4</v>
      </c>
      <c r="BB1" s="428">
        <f t="shared" si="0"/>
        <v>5</v>
      </c>
      <c r="BC1" s="428">
        <f t="shared" si="0"/>
        <v>6</v>
      </c>
      <c r="BD1" s="428">
        <f t="shared" si="0"/>
        <v>7</v>
      </c>
      <c r="BE1" s="428">
        <f t="shared" si="0"/>
        <v>8</v>
      </c>
      <c r="BF1" s="428">
        <f t="shared" si="0"/>
        <v>9</v>
      </c>
      <c r="BG1" s="428">
        <f t="shared" si="0"/>
        <v>10</v>
      </c>
      <c r="BH1" s="428">
        <f t="shared" si="0"/>
        <v>11</v>
      </c>
      <c r="BI1" s="428">
        <f t="shared" si="0"/>
        <v>12</v>
      </c>
      <c r="BJ1" s="428">
        <f t="shared" si="0"/>
        <v>1</v>
      </c>
      <c r="BK1" s="428">
        <f t="shared" si="0"/>
        <v>2</v>
      </c>
      <c r="BL1" s="428">
        <f t="shared" si="0"/>
        <v>3</v>
      </c>
      <c r="BM1" s="428">
        <f t="shared" si="0"/>
        <v>4</v>
      </c>
      <c r="BN1" s="428">
        <f t="shared" si="0"/>
        <v>5</v>
      </c>
      <c r="BO1" s="428">
        <f t="shared" si="0"/>
        <v>6</v>
      </c>
      <c r="BP1" s="428">
        <f t="shared" ref="BP1:EA1" si="1">MONTH(BP12)</f>
        <v>7</v>
      </c>
      <c r="BQ1" s="428">
        <f t="shared" si="1"/>
        <v>8</v>
      </c>
      <c r="BR1" s="428">
        <f t="shared" si="1"/>
        <v>9</v>
      </c>
      <c r="BS1" s="428">
        <f t="shared" si="1"/>
        <v>10</v>
      </c>
      <c r="BT1" s="428">
        <f t="shared" si="1"/>
        <v>11</v>
      </c>
      <c r="BU1" s="428">
        <f t="shared" si="1"/>
        <v>12</v>
      </c>
      <c r="BV1" s="428">
        <f t="shared" si="1"/>
        <v>1</v>
      </c>
      <c r="BW1" s="428">
        <f t="shared" si="1"/>
        <v>2</v>
      </c>
      <c r="BX1" s="428">
        <f t="shared" si="1"/>
        <v>3</v>
      </c>
      <c r="BY1" s="428">
        <f t="shared" si="1"/>
        <v>4</v>
      </c>
      <c r="BZ1" s="428">
        <f t="shared" si="1"/>
        <v>5</v>
      </c>
      <c r="CA1" s="428">
        <f t="shared" si="1"/>
        <v>6</v>
      </c>
      <c r="CB1" s="428">
        <f t="shared" si="1"/>
        <v>7</v>
      </c>
      <c r="CC1" s="428">
        <f t="shared" si="1"/>
        <v>8</v>
      </c>
      <c r="CD1" s="428">
        <f t="shared" si="1"/>
        <v>9</v>
      </c>
      <c r="CE1" s="428">
        <f t="shared" si="1"/>
        <v>10</v>
      </c>
      <c r="CF1" s="428">
        <f t="shared" si="1"/>
        <v>11</v>
      </c>
      <c r="CG1" s="428">
        <f t="shared" si="1"/>
        <v>12</v>
      </c>
      <c r="CH1" s="428">
        <f t="shared" si="1"/>
        <v>1</v>
      </c>
      <c r="CI1" s="428">
        <f t="shared" si="1"/>
        <v>2</v>
      </c>
      <c r="CJ1" s="428">
        <f t="shared" si="1"/>
        <v>3</v>
      </c>
      <c r="CK1" s="428">
        <f t="shared" si="1"/>
        <v>4</v>
      </c>
      <c r="CL1" s="428">
        <f t="shared" si="1"/>
        <v>5</v>
      </c>
      <c r="CM1" s="428">
        <f t="shared" si="1"/>
        <v>6</v>
      </c>
      <c r="CN1" s="428">
        <f t="shared" si="1"/>
        <v>7</v>
      </c>
      <c r="CO1" s="428">
        <f t="shared" si="1"/>
        <v>8</v>
      </c>
      <c r="CP1" s="428">
        <f t="shared" si="1"/>
        <v>9</v>
      </c>
      <c r="CQ1" s="428">
        <f t="shared" si="1"/>
        <v>10</v>
      </c>
      <c r="CR1" s="428">
        <f t="shared" si="1"/>
        <v>11</v>
      </c>
      <c r="CS1" s="428">
        <f t="shared" si="1"/>
        <v>12</v>
      </c>
      <c r="CT1" s="428">
        <f t="shared" si="1"/>
        <v>1</v>
      </c>
      <c r="CU1" s="428">
        <f t="shared" si="1"/>
        <v>2</v>
      </c>
      <c r="CV1" s="428">
        <f t="shared" si="1"/>
        <v>3</v>
      </c>
      <c r="CW1" s="428">
        <f t="shared" si="1"/>
        <v>4</v>
      </c>
      <c r="CX1" s="428">
        <f t="shared" si="1"/>
        <v>5</v>
      </c>
      <c r="CY1" s="428">
        <f t="shared" si="1"/>
        <v>6</v>
      </c>
      <c r="CZ1" s="428">
        <f t="shared" si="1"/>
        <v>7</v>
      </c>
      <c r="DA1" s="428">
        <f t="shared" si="1"/>
        <v>8</v>
      </c>
      <c r="DB1" s="428">
        <f t="shared" si="1"/>
        <v>9</v>
      </c>
      <c r="DC1" s="428">
        <f t="shared" si="1"/>
        <v>10</v>
      </c>
      <c r="DD1" s="428">
        <f t="shared" si="1"/>
        <v>11</v>
      </c>
      <c r="DE1" s="428">
        <f t="shared" si="1"/>
        <v>12</v>
      </c>
      <c r="DF1" s="428">
        <f t="shared" si="1"/>
        <v>1</v>
      </c>
      <c r="DG1" s="428">
        <f t="shared" si="1"/>
        <v>2</v>
      </c>
      <c r="DH1" s="428">
        <f t="shared" si="1"/>
        <v>3</v>
      </c>
      <c r="DI1" s="428">
        <f t="shared" si="1"/>
        <v>4</v>
      </c>
      <c r="DJ1" s="428">
        <f t="shared" si="1"/>
        <v>5</v>
      </c>
      <c r="DK1" s="428">
        <f t="shared" si="1"/>
        <v>6</v>
      </c>
      <c r="DL1" s="428">
        <f t="shared" si="1"/>
        <v>7</v>
      </c>
      <c r="DM1" s="428">
        <f t="shared" si="1"/>
        <v>8</v>
      </c>
      <c r="DN1" s="428">
        <f t="shared" si="1"/>
        <v>9</v>
      </c>
      <c r="DO1" s="428">
        <f t="shared" si="1"/>
        <v>10</v>
      </c>
      <c r="DP1" s="428">
        <f t="shared" si="1"/>
        <v>11</v>
      </c>
      <c r="DQ1" s="428">
        <f t="shared" si="1"/>
        <v>12</v>
      </c>
      <c r="DR1" s="428">
        <f t="shared" si="1"/>
        <v>1</v>
      </c>
      <c r="DS1" s="428">
        <f t="shared" si="1"/>
        <v>2</v>
      </c>
      <c r="DT1" s="428">
        <f t="shared" si="1"/>
        <v>3</v>
      </c>
      <c r="DU1" s="428">
        <f t="shared" si="1"/>
        <v>4</v>
      </c>
      <c r="DV1" s="428">
        <f t="shared" si="1"/>
        <v>5</v>
      </c>
      <c r="DW1" s="428">
        <f t="shared" si="1"/>
        <v>6</v>
      </c>
      <c r="DX1" s="428">
        <f t="shared" si="1"/>
        <v>7</v>
      </c>
      <c r="DY1" s="428">
        <f t="shared" si="1"/>
        <v>8</v>
      </c>
      <c r="DZ1" s="428">
        <f t="shared" si="1"/>
        <v>9</v>
      </c>
      <c r="EA1" s="428">
        <f t="shared" si="1"/>
        <v>10</v>
      </c>
      <c r="EB1" s="428">
        <f t="shared" ref="EB1:GM1" si="2">MONTH(EB12)</f>
        <v>11</v>
      </c>
      <c r="EC1" s="428">
        <f t="shared" si="2"/>
        <v>12</v>
      </c>
      <c r="ED1" s="428">
        <f t="shared" si="2"/>
        <v>1</v>
      </c>
      <c r="EE1" s="428">
        <f t="shared" si="2"/>
        <v>2</v>
      </c>
      <c r="EF1" s="428">
        <f t="shared" si="2"/>
        <v>3</v>
      </c>
      <c r="EG1" s="428">
        <f t="shared" si="2"/>
        <v>4</v>
      </c>
      <c r="EH1" s="428">
        <f t="shared" si="2"/>
        <v>5</v>
      </c>
      <c r="EI1" s="428">
        <f t="shared" si="2"/>
        <v>6</v>
      </c>
      <c r="EJ1" s="428">
        <f t="shared" si="2"/>
        <v>7</v>
      </c>
      <c r="EK1" s="428">
        <f t="shared" si="2"/>
        <v>8</v>
      </c>
      <c r="EL1" s="428">
        <f t="shared" si="2"/>
        <v>9</v>
      </c>
      <c r="EM1" s="428">
        <f t="shared" si="2"/>
        <v>10</v>
      </c>
      <c r="EN1" s="428">
        <f t="shared" si="2"/>
        <v>11</v>
      </c>
      <c r="EO1" s="428">
        <f t="shared" si="2"/>
        <v>12</v>
      </c>
      <c r="EP1" s="428">
        <f t="shared" si="2"/>
        <v>1</v>
      </c>
      <c r="EQ1" s="428">
        <f t="shared" si="2"/>
        <v>2</v>
      </c>
      <c r="ER1" s="428">
        <f t="shared" si="2"/>
        <v>3</v>
      </c>
      <c r="ES1" s="428">
        <f t="shared" si="2"/>
        <v>4</v>
      </c>
      <c r="ET1" s="428">
        <f t="shared" si="2"/>
        <v>5</v>
      </c>
      <c r="EU1" s="428">
        <f t="shared" si="2"/>
        <v>6</v>
      </c>
      <c r="EV1" s="428">
        <f t="shared" si="2"/>
        <v>7</v>
      </c>
      <c r="EW1" s="428">
        <f t="shared" si="2"/>
        <v>8</v>
      </c>
      <c r="EX1" s="428">
        <f t="shared" si="2"/>
        <v>9</v>
      </c>
      <c r="EY1" s="428">
        <f t="shared" si="2"/>
        <v>10</v>
      </c>
      <c r="EZ1" s="428">
        <f t="shared" si="2"/>
        <v>11</v>
      </c>
      <c r="FA1" s="428">
        <f t="shared" si="2"/>
        <v>12</v>
      </c>
      <c r="FB1" s="428">
        <f t="shared" si="2"/>
        <v>1</v>
      </c>
      <c r="FC1" s="428">
        <f t="shared" si="2"/>
        <v>2</v>
      </c>
      <c r="FD1" s="428">
        <f t="shared" si="2"/>
        <v>3</v>
      </c>
      <c r="FE1" s="428">
        <f t="shared" si="2"/>
        <v>4</v>
      </c>
      <c r="FF1" s="428">
        <f t="shared" si="2"/>
        <v>5</v>
      </c>
      <c r="FG1" s="428">
        <f t="shared" si="2"/>
        <v>6</v>
      </c>
      <c r="FH1" s="428">
        <f t="shared" si="2"/>
        <v>7</v>
      </c>
      <c r="FI1" s="428">
        <f t="shared" si="2"/>
        <v>8</v>
      </c>
      <c r="FJ1" s="428">
        <f t="shared" si="2"/>
        <v>9</v>
      </c>
      <c r="FK1" s="428">
        <f t="shared" si="2"/>
        <v>10</v>
      </c>
      <c r="FL1" s="428">
        <f t="shared" si="2"/>
        <v>11</v>
      </c>
      <c r="FM1" s="428">
        <f t="shared" si="2"/>
        <v>12</v>
      </c>
      <c r="FN1" s="428">
        <f t="shared" si="2"/>
        <v>1</v>
      </c>
      <c r="FO1" s="428">
        <f t="shared" si="2"/>
        <v>2</v>
      </c>
      <c r="FP1" s="428">
        <f t="shared" si="2"/>
        <v>3</v>
      </c>
      <c r="FQ1" s="428">
        <f t="shared" si="2"/>
        <v>4</v>
      </c>
      <c r="FR1" s="428">
        <f t="shared" si="2"/>
        <v>5</v>
      </c>
      <c r="FS1" s="428">
        <f t="shared" si="2"/>
        <v>6</v>
      </c>
      <c r="FT1" s="428">
        <f t="shared" si="2"/>
        <v>7</v>
      </c>
      <c r="FU1" s="428">
        <f t="shared" si="2"/>
        <v>8</v>
      </c>
      <c r="FV1" s="428">
        <f t="shared" si="2"/>
        <v>9</v>
      </c>
      <c r="FW1" s="428">
        <f t="shared" si="2"/>
        <v>10</v>
      </c>
      <c r="FX1" s="428">
        <f t="shared" si="2"/>
        <v>11</v>
      </c>
      <c r="FY1" s="428">
        <f t="shared" si="2"/>
        <v>12</v>
      </c>
      <c r="FZ1" s="428">
        <f t="shared" si="2"/>
        <v>1</v>
      </c>
      <c r="GA1" s="428">
        <f t="shared" si="2"/>
        <v>2</v>
      </c>
      <c r="GB1" s="428">
        <f t="shared" si="2"/>
        <v>3</v>
      </c>
      <c r="GC1" s="428">
        <f t="shared" si="2"/>
        <v>4</v>
      </c>
      <c r="GD1" s="428">
        <f t="shared" si="2"/>
        <v>5</v>
      </c>
      <c r="GE1" s="428">
        <f t="shared" si="2"/>
        <v>6</v>
      </c>
      <c r="GF1" s="428">
        <f t="shared" si="2"/>
        <v>7</v>
      </c>
      <c r="GG1" s="428">
        <f t="shared" si="2"/>
        <v>8</v>
      </c>
      <c r="GH1" s="428">
        <f t="shared" si="2"/>
        <v>9</v>
      </c>
      <c r="GI1" s="428">
        <f t="shared" si="2"/>
        <v>10</v>
      </c>
      <c r="GJ1" s="428">
        <f t="shared" si="2"/>
        <v>11</v>
      </c>
      <c r="GK1" s="428">
        <f t="shared" si="2"/>
        <v>12</v>
      </c>
      <c r="GL1" s="428">
        <f t="shared" si="2"/>
        <v>1</v>
      </c>
      <c r="GM1" s="428">
        <f t="shared" si="2"/>
        <v>1</v>
      </c>
      <c r="GN1" s="428">
        <f t="shared" ref="GN1:IY1" si="3">MONTH(GN12)</f>
        <v>1</v>
      </c>
      <c r="GO1" s="428">
        <f t="shared" si="3"/>
        <v>1</v>
      </c>
      <c r="GP1" s="428">
        <f t="shared" si="3"/>
        <v>1</v>
      </c>
      <c r="GQ1" s="428">
        <f t="shared" si="3"/>
        <v>1</v>
      </c>
      <c r="GR1" s="428">
        <f t="shared" si="3"/>
        <v>1</v>
      </c>
      <c r="GS1" s="428">
        <f t="shared" si="3"/>
        <v>1</v>
      </c>
      <c r="GT1" s="428">
        <f t="shared" si="3"/>
        <v>1</v>
      </c>
      <c r="GU1" s="428">
        <f t="shared" si="3"/>
        <v>1</v>
      </c>
      <c r="GV1" s="428">
        <f t="shared" si="3"/>
        <v>1</v>
      </c>
      <c r="GW1" s="428">
        <f t="shared" si="3"/>
        <v>1</v>
      </c>
      <c r="GX1" s="428">
        <f t="shared" si="3"/>
        <v>1</v>
      </c>
      <c r="GY1" s="428">
        <f t="shared" si="3"/>
        <v>1</v>
      </c>
      <c r="GZ1" s="428">
        <f t="shared" si="3"/>
        <v>1</v>
      </c>
      <c r="HA1" s="428">
        <f t="shared" si="3"/>
        <v>1</v>
      </c>
      <c r="HB1" s="428">
        <f t="shared" si="3"/>
        <v>1</v>
      </c>
      <c r="HC1" s="428">
        <f t="shared" si="3"/>
        <v>1</v>
      </c>
      <c r="HD1" s="428">
        <f t="shared" si="3"/>
        <v>1</v>
      </c>
      <c r="HE1" s="428">
        <f t="shared" si="3"/>
        <v>1</v>
      </c>
      <c r="HF1" s="428">
        <f t="shared" si="3"/>
        <v>1</v>
      </c>
      <c r="HG1" s="428">
        <f t="shared" si="3"/>
        <v>1</v>
      </c>
      <c r="HH1" s="428">
        <f t="shared" si="3"/>
        <v>1</v>
      </c>
      <c r="HI1" s="428">
        <f t="shared" si="3"/>
        <v>1</v>
      </c>
      <c r="HJ1" s="428">
        <f t="shared" si="3"/>
        <v>1</v>
      </c>
      <c r="HK1" s="428">
        <f t="shared" si="3"/>
        <v>1</v>
      </c>
      <c r="HL1" s="428">
        <f t="shared" si="3"/>
        <v>1</v>
      </c>
      <c r="HM1" s="428">
        <f t="shared" si="3"/>
        <v>1</v>
      </c>
      <c r="HN1" s="428">
        <f t="shared" si="3"/>
        <v>1</v>
      </c>
      <c r="HO1" s="428">
        <f t="shared" si="3"/>
        <v>1</v>
      </c>
      <c r="HP1" s="428">
        <f t="shared" si="3"/>
        <v>1</v>
      </c>
      <c r="HQ1" s="428">
        <f t="shared" si="3"/>
        <v>1</v>
      </c>
      <c r="HR1" s="428">
        <f t="shared" si="3"/>
        <v>1</v>
      </c>
      <c r="HS1" s="428">
        <f t="shared" si="3"/>
        <v>1</v>
      </c>
      <c r="HT1" s="428">
        <f t="shared" si="3"/>
        <v>1</v>
      </c>
      <c r="HU1" s="428">
        <f t="shared" si="3"/>
        <v>1</v>
      </c>
      <c r="HV1" s="428">
        <f t="shared" si="3"/>
        <v>1</v>
      </c>
      <c r="HW1" s="428">
        <f t="shared" si="3"/>
        <v>1</v>
      </c>
      <c r="HX1" s="428">
        <f t="shared" si="3"/>
        <v>1</v>
      </c>
      <c r="HY1" s="428">
        <f t="shared" si="3"/>
        <v>1</v>
      </c>
      <c r="HZ1" s="428">
        <f t="shared" si="3"/>
        <v>1</v>
      </c>
      <c r="IA1" s="428">
        <f t="shared" si="3"/>
        <v>1</v>
      </c>
      <c r="IB1" s="428">
        <f t="shared" si="3"/>
        <v>1</v>
      </c>
      <c r="IC1" s="428">
        <f t="shared" si="3"/>
        <v>1</v>
      </c>
      <c r="ID1" s="428">
        <f t="shared" si="3"/>
        <v>1</v>
      </c>
      <c r="IE1" s="428">
        <f t="shared" si="3"/>
        <v>1</v>
      </c>
      <c r="IF1" s="428">
        <f t="shared" si="3"/>
        <v>1</v>
      </c>
      <c r="IG1" s="428">
        <f t="shared" si="3"/>
        <v>1</v>
      </c>
      <c r="IH1" s="428">
        <f t="shared" si="3"/>
        <v>1</v>
      </c>
      <c r="II1" s="428">
        <f t="shared" si="3"/>
        <v>1</v>
      </c>
      <c r="IJ1" s="428">
        <f t="shared" si="3"/>
        <v>1</v>
      </c>
      <c r="IK1" s="428">
        <f t="shared" si="3"/>
        <v>1</v>
      </c>
      <c r="IL1" s="428">
        <f t="shared" si="3"/>
        <v>1</v>
      </c>
      <c r="IM1" s="428">
        <f t="shared" si="3"/>
        <v>1</v>
      </c>
      <c r="IN1" s="428">
        <f t="shared" si="3"/>
        <v>1</v>
      </c>
      <c r="IO1" s="428">
        <f t="shared" si="3"/>
        <v>1</v>
      </c>
      <c r="IP1" s="428">
        <f t="shared" si="3"/>
        <v>1</v>
      </c>
      <c r="IQ1" s="428">
        <f t="shared" si="3"/>
        <v>1</v>
      </c>
      <c r="IR1" s="428">
        <f t="shared" si="3"/>
        <v>1</v>
      </c>
      <c r="IS1" s="428">
        <f t="shared" si="3"/>
        <v>1</v>
      </c>
      <c r="IT1" s="428">
        <f t="shared" si="3"/>
        <v>1</v>
      </c>
      <c r="IU1" s="428">
        <f t="shared" si="3"/>
        <v>1</v>
      </c>
      <c r="IV1" s="428">
        <f t="shared" si="3"/>
        <v>1</v>
      </c>
      <c r="IW1" s="428">
        <f t="shared" si="3"/>
        <v>1</v>
      </c>
      <c r="IX1" s="428">
        <f t="shared" si="3"/>
        <v>1</v>
      </c>
      <c r="IY1" s="428">
        <f t="shared" si="3"/>
        <v>1</v>
      </c>
      <c r="IZ1" s="428">
        <f t="shared" ref="IZ1:LK1" si="4">MONTH(IZ12)</f>
        <v>1</v>
      </c>
      <c r="JA1" s="428">
        <f t="shared" si="4"/>
        <v>1</v>
      </c>
      <c r="JB1" s="428">
        <f t="shared" si="4"/>
        <v>1</v>
      </c>
      <c r="JC1" s="428">
        <f t="shared" si="4"/>
        <v>1</v>
      </c>
      <c r="JD1" s="428">
        <f t="shared" si="4"/>
        <v>1</v>
      </c>
      <c r="JE1" s="428">
        <f t="shared" si="4"/>
        <v>1</v>
      </c>
      <c r="JF1" s="428">
        <f t="shared" si="4"/>
        <v>1</v>
      </c>
      <c r="JG1" s="428">
        <f t="shared" si="4"/>
        <v>1</v>
      </c>
      <c r="JH1" s="428">
        <f t="shared" si="4"/>
        <v>1</v>
      </c>
      <c r="JI1" s="428">
        <f t="shared" si="4"/>
        <v>1</v>
      </c>
      <c r="JJ1" s="428">
        <f t="shared" si="4"/>
        <v>1</v>
      </c>
      <c r="JK1" s="428">
        <f t="shared" si="4"/>
        <v>1</v>
      </c>
      <c r="JL1" s="428">
        <f t="shared" si="4"/>
        <v>1</v>
      </c>
      <c r="JM1" s="428">
        <f t="shared" si="4"/>
        <v>1</v>
      </c>
      <c r="JN1" s="428">
        <f t="shared" si="4"/>
        <v>1</v>
      </c>
      <c r="JO1" s="428">
        <f t="shared" si="4"/>
        <v>1</v>
      </c>
      <c r="JP1" s="428">
        <f t="shared" si="4"/>
        <v>1</v>
      </c>
      <c r="JQ1" s="428">
        <f t="shared" si="4"/>
        <v>1</v>
      </c>
      <c r="JR1" s="428">
        <f t="shared" si="4"/>
        <v>1</v>
      </c>
      <c r="JS1" s="428">
        <f t="shared" si="4"/>
        <v>1</v>
      </c>
      <c r="JT1" s="428">
        <f t="shared" si="4"/>
        <v>1</v>
      </c>
      <c r="JU1" s="428">
        <f t="shared" si="4"/>
        <v>1</v>
      </c>
      <c r="JV1" s="428">
        <f t="shared" si="4"/>
        <v>1</v>
      </c>
      <c r="JW1" s="428">
        <f t="shared" si="4"/>
        <v>1</v>
      </c>
      <c r="JX1" s="428">
        <f t="shared" si="4"/>
        <v>1</v>
      </c>
      <c r="JY1" s="428">
        <f t="shared" si="4"/>
        <v>1</v>
      </c>
      <c r="JZ1" s="428">
        <f t="shared" si="4"/>
        <v>1</v>
      </c>
      <c r="KA1" s="428">
        <f t="shared" si="4"/>
        <v>1</v>
      </c>
      <c r="KB1" s="428">
        <f t="shared" si="4"/>
        <v>1</v>
      </c>
      <c r="KC1" s="428">
        <f t="shared" si="4"/>
        <v>1</v>
      </c>
      <c r="KD1" s="428">
        <f t="shared" si="4"/>
        <v>1</v>
      </c>
      <c r="KE1" s="428">
        <f t="shared" si="4"/>
        <v>1</v>
      </c>
      <c r="KF1" s="428">
        <f t="shared" si="4"/>
        <v>1</v>
      </c>
      <c r="KG1" s="428">
        <f t="shared" si="4"/>
        <v>1</v>
      </c>
      <c r="KH1" s="428">
        <f t="shared" si="4"/>
        <v>1</v>
      </c>
      <c r="KI1" s="428">
        <f t="shared" si="4"/>
        <v>1</v>
      </c>
      <c r="KJ1" s="428">
        <f t="shared" si="4"/>
        <v>1</v>
      </c>
      <c r="KK1" s="428">
        <f t="shared" si="4"/>
        <v>1</v>
      </c>
      <c r="KL1" s="428">
        <f t="shared" si="4"/>
        <v>1</v>
      </c>
      <c r="KM1" s="428">
        <f t="shared" si="4"/>
        <v>1</v>
      </c>
      <c r="KN1" s="428">
        <f t="shared" si="4"/>
        <v>1</v>
      </c>
      <c r="KO1" s="428">
        <f t="shared" si="4"/>
        <v>1</v>
      </c>
      <c r="KP1" s="428">
        <f t="shared" si="4"/>
        <v>1</v>
      </c>
      <c r="KQ1" s="428">
        <f t="shared" si="4"/>
        <v>1</v>
      </c>
      <c r="KR1" s="428">
        <f t="shared" si="4"/>
        <v>1</v>
      </c>
      <c r="KS1" s="428">
        <f t="shared" si="4"/>
        <v>1</v>
      </c>
      <c r="KT1" s="428">
        <f t="shared" si="4"/>
        <v>1</v>
      </c>
      <c r="KU1" s="428">
        <f t="shared" si="4"/>
        <v>1</v>
      </c>
      <c r="KV1" s="428">
        <f t="shared" si="4"/>
        <v>1</v>
      </c>
      <c r="KW1" s="428">
        <f t="shared" si="4"/>
        <v>1</v>
      </c>
      <c r="KX1" s="428">
        <f t="shared" si="4"/>
        <v>1</v>
      </c>
      <c r="KY1" s="428">
        <f t="shared" si="4"/>
        <v>1</v>
      </c>
      <c r="KZ1" s="428">
        <f t="shared" si="4"/>
        <v>1</v>
      </c>
      <c r="LA1" s="428">
        <f t="shared" si="4"/>
        <v>1</v>
      </c>
      <c r="LB1" s="428">
        <f t="shared" si="4"/>
        <v>1</v>
      </c>
      <c r="LC1" s="428">
        <f t="shared" si="4"/>
        <v>1</v>
      </c>
      <c r="LD1" s="428">
        <f t="shared" si="4"/>
        <v>1</v>
      </c>
      <c r="LE1" s="428">
        <f t="shared" si="4"/>
        <v>1</v>
      </c>
      <c r="LF1" s="428">
        <f t="shared" si="4"/>
        <v>1</v>
      </c>
      <c r="LG1" s="428">
        <f t="shared" si="4"/>
        <v>1</v>
      </c>
      <c r="LH1" s="428">
        <f t="shared" si="4"/>
        <v>1</v>
      </c>
      <c r="LI1" s="428">
        <f t="shared" si="4"/>
        <v>1</v>
      </c>
      <c r="LJ1" s="428">
        <f t="shared" si="4"/>
        <v>1</v>
      </c>
      <c r="LK1" s="428">
        <f t="shared" si="4"/>
        <v>1</v>
      </c>
      <c r="LL1" s="428">
        <f t="shared" ref="LL1:NW1" si="5">MONTH(LL12)</f>
        <v>1</v>
      </c>
      <c r="LM1" s="428">
        <f t="shared" si="5"/>
        <v>1</v>
      </c>
      <c r="LN1" s="428">
        <f t="shared" si="5"/>
        <v>1</v>
      </c>
      <c r="LO1" s="428">
        <f t="shared" si="5"/>
        <v>1</v>
      </c>
      <c r="LP1" s="428">
        <f t="shared" si="5"/>
        <v>1</v>
      </c>
      <c r="LQ1" s="428">
        <f t="shared" si="5"/>
        <v>1</v>
      </c>
      <c r="LR1" s="428">
        <f t="shared" si="5"/>
        <v>1</v>
      </c>
      <c r="LS1" s="428">
        <f t="shared" si="5"/>
        <v>1</v>
      </c>
      <c r="LT1" s="428">
        <f t="shared" si="5"/>
        <v>1</v>
      </c>
      <c r="LU1" s="428">
        <f t="shared" si="5"/>
        <v>1</v>
      </c>
      <c r="LV1" s="428">
        <f t="shared" si="5"/>
        <v>1</v>
      </c>
      <c r="LW1" s="428">
        <f t="shared" si="5"/>
        <v>1</v>
      </c>
      <c r="LX1" s="428">
        <f t="shared" si="5"/>
        <v>1</v>
      </c>
      <c r="LY1" s="428">
        <f t="shared" si="5"/>
        <v>1</v>
      </c>
      <c r="LZ1" s="428">
        <f t="shared" si="5"/>
        <v>1</v>
      </c>
      <c r="MA1" s="428">
        <f t="shared" si="5"/>
        <v>1</v>
      </c>
      <c r="MB1" s="428">
        <f t="shared" si="5"/>
        <v>1</v>
      </c>
      <c r="MC1" s="428">
        <f t="shared" si="5"/>
        <v>1</v>
      </c>
      <c r="MD1" s="428">
        <f t="shared" si="5"/>
        <v>1</v>
      </c>
      <c r="ME1" s="428">
        <f t="shared" si="5"/>
        <v>1</v>
      </c>
      <c r="MF1" s="428">
        <f t="shared" si="5"/>
        <v>1</v>
      </c>
      <c r="MG1" s="428">
        <f t="shared" si="5"/>
        <v>1</v>
      </c>
      <c r="MH1" s="428">
        <f t="shared" si="5"/>
        <v>1</v>
      </c>
      <c r="MI1" s="428">
        <f t="shared" si="5"/>
        <v>1</v>
      </c>
      <c r="MJ1" s="428">
        <f t="shared" si="5"/>
        <v>1</v>
      </c>
      <c r="MK1" s="428">
        <f t="shared" si="5"/>
        <v>1</v>
      </c>
      <c r="ML1" s="428">
        <f t="shared" si="5"/>
        <v>1</v>
      </c>
      <c r="MM1" s="428">
        <f t="shared" si="5"/>
        <v>1</v>
      </c>
      <c r="MN1" s="428">
        <f t="shared" si="5"/>
        <v>1</v>
      </c>
      <c r="MO1" s="428">
        <f t="shared" si="5"/>
        <v>1</v>
      </c>
      <c r="MP1" s="428">
        <f t="shared" si="5"/>
        <v>1</v>
      </c>
      <c r="MQ1" s="428">
        <f t="shared" si="5"/>
        <v>1</v>
      </c>
      <c r="MR1" s="428">
        <f t="shared" si="5"/>
        <v>1</v>
      </c>
      <c r="MS1" s="428">
        <f t="shared" si="5"/>
        <v>1</v>
      </c>
      <c r="MT1" s="428">
        <f t="shared" si="5"/>
        <v>1</v>
      </c>
      <c r="MU1" s="428">
        <f t="shared" si="5"/>
        <v>1</v>
      </c>
      <c r="MV1" s="428">
        <f t="shared" si="5"/>
        <v>1</v>
      </c>
      <c r="MW1" s="428">
        <f t="shared" si="5"/>
        <v>1</v>
      </c>
      <c r="MX1" s="428">
        <f t="shared" si="5"/>
        <v>1</v>
      </c>
      <c r="MY1" s="428">
        <f t="shared" si="5"/>
        <v>1</v>
      </c>
      <c r="MZ1" s="428">
        <f t="shared" si="5"/>
        <v>1</v>
      </c>
      <c r="NA1" s="428">
        <f t="shared" si="5"/>
        <v>1</v>
      </c>
      <c r="NB1" s="428">
        <f t="shared" si="5"/>
        <v>1</v>
      </c>
      <c r="NC1" s="428">
        <f t="shared" si="5"/>
        <v>1</v>
      </c>
      <c r="ND1" s="428">
        <f t="shared" si="5"/>
        <v>1</v>
      </c>
      <c r="NE1" s="428">
        <f t="shared" si="5"/>
        <v>1</v>
      </c>
      <c r="NF1" s="428">
        <f t="shared" si="5"/>
        <v>1</v>
      </c>
      <c r="NG1" s="428">
        <f t="shared" si="5"/>
        <v>1</v>
      </c>
      <c r="NH1" s="428">
        <f t="shared" si="5"/>
        <v>1</v>
      </c>
      <c r="NI1" s="428">
        <f t="shared" si="5"/>
        <v>1</v>
      </c>
      <c r="NJ1" s="428">
        <f t="shared" si="5"/>
        <v>1</v>
      </c>
      <c r="NK1" s="428">
        <f t="shared" si="5"/>
        <v>1</v>
      </c>
      <c r="NL1" s="428">
        <f t="shared" si="5"/>
        <v>1</v>
      </c>
      <c r="NM1" s="428">
        <f t="shared" si="5"/>
        <v>1</v>
      </c>
      <c r="NN1" s="428">
        <f t="shared" si="5"/>
        <v>1</v>
      </c>
      <c r="NO1" s="428">
        <f t="shared" si="5"/>
        <v>1</v>
      </c>
      <c r="NP1" s="428">
        <f t="shared" si="5"/>
        <v>1</v>
      </c>
      <c r="NQ1" s="428">
        <f t="shared" si="5"/>
        <v>1</v>
      </c>
      <c r="NR1" s="428">
        <f t="shared" si="5"/>
        <v>1</v>
      </c>
      <c r="NS1" s="428">
        <f t="shared" si="5"/>
        <v>1</v>
      </c>
      <c r="NT1" s="428">
        <f t="shared" si="5"/>
        <v>1</v>
      </c>
      <c r="NU1" s="428">
        <f t="shared" si="5"/>
        <v>1</v>
      </c>
      <c r="NV1" s="428">
        <f t="shared" si="5"/>
        <v>1</v>
      </c>
      <c r="NW1" s="428">
        <f t="shared" si="5"/>
        <v>1</v>
      </c>
      <c r="NX1" s="428">
        <f t="shared" ref="NX1:QI1" si="6">MONTH(NX12)</f>
        <v>1</v>
      </c>
      <c r="NY1" s="428">
        <f t="shared" si="6"/>
        <v>1</v>
      </c>
      <c r="NZ1" s="428">
        <f t="shared" si="6"/>
        <v>1</v>
      </c>
      <c r="OA1" s="428">
        <f t="shared" si="6"/>
        <v>1</v>
      </c>
      <c r="OB1" s="428">
        <f t="shared" si="6"/>
        <v>1</v>
      </c>
      <c r="OC1" s="428">
        <f t="shared" si="6"/>
        <v>1</v>
      </c>
      <c r="OD1" s="428">
        <f t="shared" si="6"/>
        <v>1</v>
      </c>
      <c r="OE1" s="428">
        <f t="shared" si="6"/>
        <v>1</v>
      </c>
      <c r="OF1" s="428">
        <f t="shared" si="6"/>
        <v>1</v>
      </c>
      <c r="OG1" s="428">
        <f t="shared" si="6"/>
        <v>1</v>
      </c>
      <c r="OH1" s="428">
        <f t="shared" si="6"/>
        <v>1</v>
      </c>
      <c r="OI1" s="428">
        <f t="shared" si="6"/>
        <v>1</v>
      </c>
      <c r="OJ1" s="428">
        <f t="shared" si="6"/>
        <v>1</v>
      </c>
      <c r="OK1" s="428">
        <f t="shared" si="6"/>
        <v>1</v>
      </c>
      <c r="OL1" s="428">
        <f t="shared" si="6"/>
        <v>1</v>
      </c>
      <c r="OM1" s="428">
        <f t="shared" si="6"/>
        <v>1</v>
      </c>
      <c r="ON1" s="428">
        <f t="shared" si="6"/>
        <v>1</v>
      </c>
      <c r="OO1" s="428">
        <f t="shared" si="6"/>
        <v>1</v>
      </c>
      <c r="OP1" s="428">
        <f t="shared" si="6"/>
        <v>1</v>
      </c>
      <c r="OQ1" s="428">
        <f t="shared" si="6"/>
        <v>1</v>
      </c>
      <c r="OR1" s="428">
        <f t="shared" si="6"/>
        <v>1</v>
      </c>
      <c r="OS1" s="428">
        <f t="shared" si="6"/>
        <v>1</v>
      </c>
      <c r="OT1" s="428">
        <f t="shared" si="6"/>
        <v>1</v>
      </c>
      <c r="OU1" s="428">
        <f t="shared" si="6"/>
        <v>1</v>
      </c>
      <c r="OV1" s="428">
        <f t="shared" si="6"/>
        <v>1</v>
      </c>
      <c r="OW1" s="428">
        <f t="shared" si="6"/>
        <v>1</v>
      </c>
      <c r="OX1" s="428">
        <f t="shared" si="6"/>
        <v>1</v>
      </c>
      <c r="OY1" s="428">
        <f t="shared" si="6"/>
        <v>1</v>
      </c>
      <c r="OZ1" s="428">
        <f t="shared" si="6"/>
        <v>1</v>
      </c>
      <c r="PA1" s="428">
        <f t="shared" si="6"/>
        <v>1</v>
      </c>
      <c r="PB1" s="428">
        <f t="shared" si="6"/>
        <v>1</v>
      </c>
      <c r="PC1" s="428">
        <f t="shared" si="6"/>
        <v>1</v>
      </c>
      <c r="PD1" s="428">
        <f t="shared" si="6"/>
        <v>1</v>
      </c>
      <c r="PE1" s="428">
        <f t="shared" si="6"/>
        <v>1</v>
      </c>
      <c r="PF1" s="428">
        <f t="shared" si="6"/>
        <v>1</v>
      </c>
      <c r="PG1" s="428">
        <f t="shared" si="6"/>
        <v>1</v>
      </c>
      <c r="PH1" s="428">
        <f t="shared" si="6"/>
        <v>1</v>
      </c>
      <c r="PI1" s="428">
        <f t="shared" si="6"/>
        <v>1</v>
      </c>
      <c r="PJ1" s="428">
        <f t="shared" si="6"/>
        <v>1</v>
      </c>
      <c r="PK1" s="428">
        <f t="shared" si="6"/>
        <v>1</v>
      </c>
      <c r="PL1" s="428">
        <f t="shared" si="6"/>
        <v>1</v>
      </c>
      <c r="PM1" s="428">
        <f t="shared" si="6"/>
        <v>1</v>
      </c>
      <c r="PN1" s="428">
        <f t="shared" si="6"/>
        <v>1</v>
      </c>
      <c r="PO1" s="428">
        <f t="shared" si="6"/>
        <v>1</v>
      </c>
      <c r="PP1" s="428">
        <f t="shared" si="6"/>
        <v>1</v>
      </c>
      <c r="PQ1" s="428">
        <f t="shared" si="6"/>
        <v>1</v>
      </c>
      <c r="PR1" s="428">
        <f t="shared" si="6"/>
        <v>1</v>
      </c>
      <c r="PS1" s="428">
        <f t="shared" si="6"/>
        <v>1</v>
      </c>
      <c r="PT1" s="428">
        <f t="shared" si="6"/>
        <v>1</v>
      </c>
      <c r="PU1" s="428">
        <f t="shared" si="6"/>
        <v>1</v>
      </c>
      <c r="PV1" s="428">
        <f t="shared" si="6"/>
        <v>1</v>
      </c>
      <c r="PW1" s="428">
        <f t="shared" si="6"/>
        <v>1</v>
      </c>
      <c r="PX1" s="428">
        <f t="shared" si="6"/>
        <v>1</v>
      </c>
      <c r="PY1" s="428">
        <f t="shared" si="6"/>
        <v>1</v>
      </c>
      <c r="PZ1" s="428">
        <f t="shared" si="6"/>
        <v>1</v>
      </c>
      <c r="QA1" s="428">
        <f t="shared" si="6"/>
        <v>1</v>
      </c>
      <c r="QB1" s="428">
        <f t="shared" si="6"/>
        <v>1</v>
      </c>
      <c r="QC1" s="428">
        <f t="shared" si="6"/>
        <v>1</v>
      </c>
      <c r="QD1" s="428">
        <f t="shared" si="6"/>
        <v>1</v>
      </c>
      <c r="QE1" s="428">
        <f t="shared" si="6"/>
        <v>1</v>
      </c>
      <c r="QF1" s="428">
        <f t="shared" si="6"/>
        <v>1</v>
      </c>
      <c r="QG1" s="428">
        <f t="shared" si="6"/>
        <v>1</v>
      </c>
      <c r="QH1" s="428">
        <f t="shared" si="6"/>
        <v>1</v>
      </c>
      <c r="QI1" s="428">
        <f t="shared" si="6"/>
        <v>1</v>
      </c>
      <c r="QJ1" s="428">
        <f t="shared" ref="QJ1:SD1" si="7">MONTH(QJ12)</f>
        <v>1</v>
      </c>
      <c r="QK1" s="428">
        <f t="shared" si="7"/>
        <v>1</v>
      </c>
      <c r="QL1" s="428">
        <f t="shared" si="7"/>
        <v>1</v>
      </c>
      <c r="QM1" s="428">
        <f t="shared" si="7"/>
        <v>1</v>
      </c>
      <c r="QN1" s="428">
        <f t="shared" si="7"/>
        <v>1</v>
      </c>
      <c r="QO1" s="428">
        <f t="shared" si="7"/>
        <v>1</v>
      </c>
      <c r="QP1" s="428">
        <f t="shared" si="7"/>
        <v>1</v>
      </c>
      <c r="QQ1" s="428">
        <f t="shared" si="7"/>
        <v>1</v>
      </c>
      <c r="QR1" s="428">
        <f t="shared" si="7"/>
        <v>1</v>
      </c>
      <c r="QS1" s="428">
        <f t="shared" si="7"/>
        <v>1</v>
      </c>
      <c r="QT1" s="428">
        <f t="shared" si="7"/>
        <v>1</v>
      </c>
      <c r="QU1" s="428">
        <f t="shared" si="7"/>
        <v>1</v>
      </c>
      <c r="QV1" s="428">
        <f t="shared" si="7"/>
        <v>1</v>
      </c>
      <c r="QW1" s="428">
        <f t="shared" si="7"/>
        <v>1</v>
      </c>
      <c r="QX1" s="428">
        <f t="shared" si="7"/>
        <v>1</v>
      </c>
      <c r="QY1" s="428">
        <f t="shared" si="7"/>
        <v>1</v>
      </c>
      <c r="QZ1" s="428">
        <f t="shared" si="7"/>
        <v>1</v>
      </c>
      <c r="RA1" s="428">
        <f t="shared" si="7"/>
        <v>1</v>
      </c>
      <c r="RB1" s="428">
        <f t="shared" si="7"/>
        <v>1</v>
      </c>
      <c r="RC1" s="428">
        <f t="shared" si="7"/>
        <v>1</v>
      </c>
      <c r="RD1" s="428">
        <f t="shared" si="7"/>
        <v>1</v>
      </c>
      <c r="RE1" s="428">
        <f t="shared" si="7"/>
        <v>1</v>
      </c>
      <c r="RF1" s="428">
        <f t="shared" si="7"/>
        <v>1</v>
      </c>
      <c r="RG1" s="428">
        <f t="shared" si="7"/>
        <v>1</v>
      </c>
      <c r="RH1" s="428">
        <f t="shared" si="7"/>
        <v>1</v>
      </c>
      <c r="RI1" s="428">
        <f t="shared" si="7"/>
        <v>1</v>
      </c>
      <c r="RJ1" s="428">
        <f t="shared" si="7"/>
        <v>1</v>
      </c>
      <c r="RK1" s="428">
        <f t="shared" si="7"/>
        <v>1</v>
      </c>
      <c r="RL1" s="428">
        <f t="shared" si="7"/>
        <v>1</v>
      </c>
      <c r="RM1" s="428">
        <f t="shared" si="7"/>
        <v>1</v>
      </c>
      <c r="RN1" s="428">
        <f t="shared" si="7"/>
        <v>1</v>
      </c>
      <c r="RO1" s="428">
        <f t="shared" si="7"/>
        <v>1</v>
      </c>
      <c r="RP1" s="428">
        <f t="shared" si="7"/>
        <v>1</v>
      </c>
      <c r="RQ1" s="428">
        <f t="shared" si="7"/>
        <v>1</v>
      </c>
      <c r="RR1" s="428">
        <f t="shared" si="7"/>
        <v>1</v>
      </c>
      <c r="RS1" s="428">
        <f t="shared" si="7"/>
        <v>1</v>
      </c>
      <c r="RT1" s="428">
        <f t="shared" si="7"/>
        <v>1</v>
      </c>
      <c r="RU1" s="428">
        <f t="shared" si="7"/>
        <v>1</v>
      </c>
      <c r="RV1" s="428">
        <f t="shared" si="7"/>
        <v>1</v>
      </c>
      <c r="RW1" s="428">
        <f t="shared" si="7"/>
        <v>1</v>
      </c>
      <c r="RX1" s="428">
        <f t="shared" si="7"/>
        <v>1</v>
      </c>
      <c r="RY1" s="428">
        <f t="shared" si="7"/>
        <v>1</v>
      </c>
      <c r="RZ1" s="428">
        <f t="shared" si="7"/>
        <v>1</v>
      </c>
      <c r="SA1" s="428">
        <f t="shared" si="7"/>
        <v>1</v>
      </c>
      <c r="SB1" s="428">
        <f t="shared" si="7"/>
        <v>1</v>
      </c>
      <c r="SC1" s="428">
        <f t="shared" si="7"/>
        <v>1</v>
      </c>
      <c r="SD1" s="428">
        <f t="shared" si="7"/>
        <v>1</v>
      </c>
    </row>
    <row r="2" spans="1:498" hidden="1">
      <c r="A2" s="428" t="s">
        <v>336</v>
      </c>
      <c r="B2" s="428">
        <f>YEAR(B12)</f>
        <v>2001</v>
      </c>
      <c r="C2" s="428">
        <f>YEAR(C12)</f>
        <v>2001</v>
      </c>
      <c r="D2" s="428">
        <f t="shared" ref="D2:BO2" si="8">YEAR(D12)</f>
        <v>2001</v>
      </c>
      <c r="E2" s="428">
        <f t="shared" si="8"/>
        <v>2001</v>
      </c>
      <c r="F2" s="428">
        <f t="shared" si="8"/>
        <v>2001</v>
      </c>
      <c r="G2" s="428">
        <f t="shared" si="8"/>
        <v>2001</v>
      </c>
      <c r="H2" s="428">
        <f t="shared" si="8"/>
        <v>2001</v>
      </c>
      <c r="I2" s="428">
        <f t="shared" si="8"/>
        <v>2001</v>
      </c>
      <c r="J2" s="428">
        <f t="shared" si="8"/>
        <v>2001</v>
      </c>
      <c r="K2" s="428">
        <f t="shared" si="8"/>
        <v>2001</v>
      </c>
      <c r="L2" s="428">
        <f t="shared" si="8"/>
        <v>2001</v>
      </c>
      <c r="M2" s="428">
        <f t="shared" si="8"/>
        <v>2001</v>
      </c>
      <c r="N2" s="428">
        <f t="shared" si="8"/>
        <v>2002</v>
      </c>
      <c r="O2" s="428">
        <f t="shared" si="8"/>
        <v>2002</v>
      </c>
      <c r="P2" s="428">
        <f t="shared" si="8"/>
        <v>2002</v>
      </c>
      <c r="Q2" s="428">
        <f t="shared" si="8"/>
        <v>2002</v>
      </c>
      <c r="R2" s="428">
        <f t="shared" si="8"/>
        <v>2002</v>
      </c>
      <c r="S2" s="428">
        <f t="shared" si="8"/>
        <v>2002</v>
      </c>
      <c r="T2" s="428">
        <f t="shared" si="8"/>
        <v>2002</v>
      </c>
      <c r="U2" s="428">
        <f t="shared" si="8"/>
        <v>2002</v>
      </c>
      <c r="V2" s="428">
        <f t="shared" si="8"/>
        <v>2002</v>
      </c>
      <c r="W2" s="428">
        <f t="shared" si="8"/>
        <v>2002</v>
      </c>
      <c r="X2" s="428">
        <f t="shared" si="8"/>
        <v>2002</v>
      </c>
      <c r="Y2" s="428">
        <f t="shared" si="8"/>
        <v>2002</v>
      </c>
      <c r="Z2" s="428">
        <f t="shared" si="8"/>
        <v>2003</v>
      </c>
      <c r="AA2" s="428">
        <f t="shared" si="8"/>
        <v>2003</v>
      </c>
      <c r="AB2" s="428">
        <f t="shared" si="8"/>
        <v>2003</v>
      </c>
      <c r="AC2" s="428">
        <f t="shared" si="8"/>
        <v>2003</v>
      </c>
      <c r="AD2" s="428">
        <f t="shared" si="8"/>
        <v>2003</v>
      </c>
      <c r="AE2" s="428">
        <f t="shared" si="8"/>
        <v>2003</v>
      </c>
      <c r="AF2" s="428">
        <f t="shared" si="8"/>
        <v>2003</v>
      </c>
      <c r="AG2" s="428">
        <f t="shared" si="8"/>
        <v>2003</v>
      </c>
      <c r="AH2" s="428">
        <f t="shared" si="8"/>
        <v>2003</v>
      </c>
      <c r="AI2" s="428">
        <f t="shared" si="8"/>
        <v>2003</v>
      </c>
      <c r="AJ2" s="428">
        <f t="shared" si="8"/>
        <v>2003</v>
      </c>
      <c r="AK2" s="428">
        <f t="shared" si="8"/>
        <v>2003</v>
      </c>
      <c r="AL2" s="428">
        <f t="shared" si="8"/>
        <v>2004</v>
      </c>
      <c r="AM2" s="428">
        <f t="shared" si="8"/>
        <v>2004</v>
      </c>
      <c r="AN2" s="428">
        <f t="shared" si="8"/>
        <v>2004</v>
      </c>
      <c r="AO2" s="428">
        <f t="shared" si="8"/>
        <v>2004</v>
      </c>
      <c r="AP2" s="428">
        <f t="shared" si="8"/>
        <v>2004</v>
      </c>
      <c r="AQ2" s="428">
        <f t="shared" si="8"/>
        <v>2004</v>
      </c>
      <c r="AR2" s="428">
        <f t="shared" si="8"/>
        <v>2004</v>
      </c>
      <c r="AS2" s="428">
        <f t="shared" si="8"/>
        <v>2004</v>
      </c>
      <c r="AT2" s="428">
        <f t="shared" si="8"/>
        <v>2004</v>
      </c>
      <c r="AU2" s="428">
        <f t="shared" si="8"/>
        <v>2004</v>
      </c>
      <c r="AV2" s="428">
        <f t="shared" si="8"/>
        <v>2004</v>
      </c>
      <c r="AW2" s="428">
        <f t="shared" si="8"/>
        <v>2004</v>
      </c>
      <c r="AX2" s="428">
        <f t="shared" si="8"/>
        <v>2005</v>
      </c>
      <c r="AY2" s="428">
        <f t="shared" si="8"/>
        <v>2005</v>
      </c>
      <c r="AZ2" s="428">
        <f t="shared" si="8"/>
        <v>2005</v>
      </c>
      <c r="BA2" s="428">
        <f t="shared" si="8"/>
        <v>2005</v>
      </c>
      <c r="BB2" s="428">
        <f t="shared" si="8"/>
        <v>2005</v>
      </c>
      <c r="BC2" s="428">
        <f t="shared" si="8"/>
        <v>2005</v>
      </c>
      <c r="BD2" s="428">
        <f t="shared" si="8"/>
        <v>2005</v>
      </c>
      <c r="BE2" s="428">
        <f t="shared" si="8"/>
        <v>2005</v>
      </c>
      <c r="BF2" s="428">
        <f t="shared" si="8"/>
        <v>2005</v>
      </c>
      <c r="BG2" s="428">
        <f t="shared" si="8"/>
        <v>2005</v>
      </c>
      <c r="BH2" s="428">
        <f t="shared" si="8"/>
        <v>2005</v>
      </c>
      <c r="BI2" s="428">
        <f t="shared" si="8"/>
        <v>2005</v>
      </c>
      <c r="BJ2" s="428">
        <f t="shared" si="8"/>
        <v>2006</v>
      </c>
      <c r="BK2" s="428">
        <f t="shared" si="8"/>
        <v>2006</v>
      </c>
      <c r="BL2" s="428">
        <f t="shared" si="8"/>
        <v>2006</v>
      </c>
      <c r="BM2" s="428">
        <f t="shared" si="8"/>
        <v>2006</v>
      </c>
      <c r="BN2" s="428">
        <f t="shared" si="8"/>
        <v>2006</v>
      </c>
      <c r="BO2" s="428">
        <f t="shared" si="8"/>
        <v>2006</v>
      </c>
      <c r="BP2" s="428">
        <f t="shared" ref="BP2:EA2" si="9">YEAR(BP12)</f>
        <v>2006</v>
      </c>
      <c r="BQ2" s="428">
        <f t="shared" si="9"/>
        <v>2006</v>
      </c>
      <c r="BR2" s="428">
        <f t="shared" si="9"/>
        <v>2006</v>
      </c>
      <c r="BS2" s="428">
        <f t="shared" si="9"/>
        <v>2006</v>
      </c>
      <c r="BT2" s="428">
        <f t="shared" si="9"/>
        <v>2006</v>
      </c>
      <c r="BU2" s="428">
        <f t="shared" si="9"/>
        <v>2006</v>
      </c>
      <c r="BV2" s="428">
        <f t="shared" si="9"/>
        <v>2007</v>
      </c>
      <c r="BW2" s="428">
        <f t="shared" si="9"/>
        <v>2007</v>
      </c>
      <c r="BX2" s="428">
        <f t="shared" si="9"/>
        <v>2007</v>
      </c>
      <c r="BY2" s="428">
        <f t="shared" si="9"/>
        <v>2007</v>
      </c>
      <c r="BZ2" s="428">
        <f t="shared" si="9"/>
        <v>2007</v>
      </c>
      <c r="CA2" s="428">
        <f t="shared" si="9"/>
        <v>2007</v>
      </c>
      <c r="CB2" s="428">
        <f t="shared" si="9"/>
        <v>2007</v>
      </c>
      <c r="CC2" s="428">
        <f t="shared" si="9"/>
        <v>2007</v>
      </c>
      <c r="CD2" s="428">
        <f t="shared" si="9"/>
        <v>2007</v>
      </c>
      <c r="CE2" s="428">
        <f t="shared" si="9"/>
        <v>2007</v>
      </c>
      <c r="CF2" s="428">
        <f t="shared" si="9"/>
        <v>2007</v>
      </c>
      <c r="CG2" s="428">
        <f t="shared" si="9"/>
        <v>2007</v>
      </c>
      <c r="CH2" s="428">
        <f t="shared" si="9"/>
        <v>2008</v>
      </c>
      <c r="CI2" s="428">
        <f t="shared" si="9"/>
        <v>2008</v>
      </c>
      <c r="CJ2" s="428">
        <f t="shared" si="9"/>
        <v>2008</v>
      </c>
      <c r="CK2" s="428">
        <f t="shared" si="9"/>
        <v>2008</v>
      </c>
      <c r="CL2" s="428">
        <f t="shared" si="9"/>
        <v>2008</v>
      </c>
      <c r="CM2" s="428">
        <f t="shared" si="9"/>
        <v>2008</v>
      </c>
      <c r="CN2" s="428">
        <f t="shared" si="9"/>
        <v>2008</v>
      </c>
      <c r="CO2" s="428">
        <f t="shared" si="9"/>
        <v>2008</v>
      </c>
      <c r="CP2" s="428">
        <f t="shared" si="9"/>
        <v>2008</v>
      </c>
      <c r="CQ2" s="428">
        <f t="shared" si="9"/>
        <v>2008</v>
      </c>
      <c r="CR2" s="428">
        <f t="shared" si="9"/>
        <v>2008</v>
      </c>
      <c r="CS2" s="428">
        <f t="shared" si="9"/>
        <v>2008</v>
      </c>
      <c r="CT2" s="428">
        <f t="shared" si="9"/>
        <v>2009</v>
      </c>
      <c r="CU2" s="428">
        <f t="shared" si="9"/>
        <v>2009</v>
      </c>
      <c r="CV2" s="428">
        <f t="shared" si="9"/>
        <v>2009</v>
      </c>
      <c r="CW2" s="428">
        <f t="shared" si="9"/>
        <v>2009</v>
      </c>
      <c r="CX2" s="428">
        <f t="shared" si="9"/>
        <v>2009</v>
      </c>
      <c r="CY2" s="428">
        <f t="shared" si="9"/>
        <v>2009</v>
      </c>
      <c r="CZ2" s="428">
        <f t="shared" si="9"/>
        <v>2009</v>
      </c>
      <c r="DA2" s="428">
        <f t="shared" si="9"/>
        <v>2009</v>
      </c>
      <c r="DB2" s="428">
        <f t="shared" si="9"/>
        <v>2009</v>
      </c>
      <c r="DC2" s="428">
        <f t="shared" si="9"/>
        <v>2009</v>
      </c>
      <c r="DD2" s="428">
        <f t="shared" si="9"/>
        <v>2009</v>
      </c>
      <c r="DE2" s="428">
        <f t="shared" si="9"/>
        <v>2009</v>
      </c>
      <c r="DF2" s="428">
        <f t="shared" si="9"/>
        <v>2010</v>
      </c>
      <c r="DG2" s="428">
        <f t="shared" si="9"/>
        <v>2010</v>
      </c>
      <c r="DH2" s="428">
        <f t="shared" si="9"/>
        <v>2010</v>
      </c>
      <c r="DI2" s="428">
        <f t="shared" si="9"/>
        <v>2010</v>
      </c>
      <c r="DJ2" s="428">
        <f t="shared" si="9"/>
        <v>2010</v>
      </c>
      <c r="DK2" s="428">
        <f t="shared" si="9"/>
        <v>2010</v>
      </c>
      <c r="DL2" s="428">
        <f t="shared" si="9"/>
        <v>2010</v>
      </c>
      <c r="DM2" s="428">
        <f t="shared" si="9"/>
        <v>2010</v>
      </c>
      <c r="DN2" s="428">
        <f t="shared" si="9"/>
        <v>2010</v>
      </c>
      <c r="DO2" s="428">
        <f t="shared" si="9"/>
        <v>2010</v>
      </c>
      <c r="DP2" s="428">
        <f t="shared" si="9"/>
        <v>2010</v>
      </c>
      <c r="DQ2" s="428">
        <f t="shared" si="9"/>
        <v>2010</v>
      </c>
      <c r="DR2" s="428">
        <f t="shared" si="9"/>
        <v>2011</v>
      </c>
      <c r="DS2" s="428">
        <f t="shared" si="9"/>
        <v>2011</v>
      </c>
      <c r="DT2" s="428">
        <f t="shared" si="9"/>
        <v>2011</v>
      </c>
      <c r="DU2" s="428">
        <f t="shared" si="9"/>
        <v>2011</v>
      </c>
      <c r="DV2" s="428">
        <f t="shared" si="9"/>
        <v>2011</v>
      </c>
      <c r="DW2" s="428">
        <f t="shared" si="9"/>
        <v>2011</v>
      </c>
      <c r="DX2" s="428">
        <f t="shared" si="9"/>
        <v>2011</v>
      </c>
      <c r="DY2" s="428">
        <f t="shared" si="9"/>
        <v>2011</v>
      </c>
      <c r="DZ2" s="428">
        <f t="shared" si="9"/>
        <v>2011</v>
      </c>
      <c r="EA2" s="428">
        <f t="shared" si="9"/>
        <v>2011</v>
      </c>
      <c r="EB2" s="428">
        <f t="shared" ref="EB2:GM2" si="10">YEAR(EB12)</f>
        <v>2011</v>
      </c>
      <c r="EC2" s="428">
        <f t="shared" si="10"/>
        <v>2011</v>
      </c>
      <c r="ED2" s="428">
        <f t="shared" si="10"/>
        <v>2012</v>
      </c>
      <c r="EE2" s="428">
        <f t="shared" si="10"/>
        <v>2012</v>
      </c>
      <c r="EF2" s="428">
        <f t="shared" si="10"/>
        <v>2012</v>
      </c>
      <c r="EG2" s="428">
        <f t="shared" si="10"/>
        <v>2012</v>
      </c>
      <c r="EH2" s="428">
        <f t="shared" si="10"/>
        <v>2012</v>
      </c>
      <c r="EI2" s="428">
        <f t="shared" si="10"/>
        <v>2012</v>
      </c>
      <c r="EJ2" s="428">
        <f t="shared" si="10"/>
        <v>2012</v>
      </c>
      <c r="EK2" s="428">
        <f t="shared" si="10"/>
        <v>2012</v>
      </c>
      <c r="EL2" s="428">
        <f t="shared" si="10"/>
        <v>2012</v>
      </c>
      <c r="EM2" s="428">
        <f t="shared" si="10"/>
        <v>2012</v>
      </c>
      <c r="EN2" s="428">
        <f t="shared" si="10"/>
        <v>2012</v>
      </c>
      <c r="EO2" s="428">
        <f t="shared" si="10"/>
        <v>2012</v>
      </c>
      <c r="EP2" s="428">
        <f t="shared" si="10"/>
        <v>2013</v>
      </c>
      <c r="EQ2" s="428">
        <f t="shared" si="10"/>
        <v>2013</v>
      </c>
      <c r="ER2" s="428">
        <f t="shared" si="10"/>
        <v>2013</v>
      </c>
      <c r="ES2" s="428">
        <f t="shared" si="10"/>
        <v>2013</v>
      </c>
      <c r="ET2" s="428">
        <f t="shared" si="10"/>
        <v>2013</v>
      </c>
      <c r="EU2" s="428">
        <f t="shared" si="10"/>
        <v>2013</v>
      </c>
      <c r="EV2" s="428">
        <f t="shared" si="10"/>
        <v>2013</v>
      </c>
      <c r="EW2" s="428">
        <f t="shared" si="10"/>
        <v>2013</v>
      </c>
      <c r="EX2" s="428">
        <f t="shared" si="10"/>
        <v>2013</v>
      </c>
      <c r="EY2" s="428">
        <f t="shared" si="10"/>
        <v>2013</v>
      </c>
      <c r="EZ2" s="428">
        <f t="shared" si="10"/>
        <v>2013</v>
      </c>
      <c r="FA2" s="428">
        <f t="shared" si="10"/>
        <v>2013</v>
      </c>
      <c r="FB2" s="428">
        <f t="shared" si="10"/>
        <v>2014</v>
      </c>
      <c r="FC2" s="428">
        <f t="shared" si="10"/>
        <v>2014</v>
      </c>
      <c r="FD2" s="428">
        <f t="shared" si="10"/>
        <v>2014</v>
      </c>
      <c r="FE2" s="428">
        <f t="shared" si="10"/>
        <v>2014</v>
      </c>
      <c r="FF2" s="428">
        <f t="shared" si="10"/>
        <v>2014</v>
      </c>
      <c r="FG2" s="428">
        <f t="shared" si="10"/>
        <v>2014</v>
      </c>
      <c r="FH2" s="428">
        <f t="shared" si="10"/>
        <v>2014</v>
      </c>
      <c r="FI2" s="428">
        <f t="shared" si="10"/>
        <v>2014</v>
      </c>
      <c r="FJ2" s="428">
        <f t="shared" si="10"/>
        <v>2014</v>
      </c>
      <c r="FK2" s="428">
        <f t="shared" si="10"/>
        <v>2014</v>
      </c>
      <c r="FL2" s="428">
        <f t="shared" si="10"/>
        <v>2014</v>
      </c>
      <c r="FM2" s="428">
        <f t="shared" si="10"/>
        <v>2014</v>
      </c>
      <c r="FN2" s="428">
        <f t="shared" si="10"/>
        <v>2015</v>
      </c>
      <c r="FO2" s="428">
        <f t="shared" si="10"/>
        <v>2015</v>
      </c>
      <c r="FP2" s="428">
        <f t="shared" si="10"/>
        <v>2015</v>
      </c>
      <c r="FQ2" s="428">
        <f t="shared" si="10"/>
        <v>2015</v>
      </c>
      <c r="FR2" s="428">
        <f t="shared" si="10"/>
        <v>2015</v>
      </c>
      <c r="FS2" s="428">
        <f t="shared" si="10"/>
        <v>2015</v>
      </c>
      <c r="FT2" s="428">
        <f t="shared" si="10"/>
        <v>2015</v>
      </c>
      <c r="FU2" s="428">
        <f t="shared" si="10"/>
        <v>2015</v>
      </c>
      <c r="FV2" s="428">
        <f t="shared" si="10"/>
        <v>2015</v>
      </c>
      <c r="FW2" s="428">
        <f t="shared" si="10"/>
        <v>2015</v>
      </c>
      <c r="FX2" s="428">
        <f t="shared" si="10"/>
        <v>2015</v>
      </c>
      <c r="FY2" s="428">
        <f t="shared" si="10"/>
        <v>2015</v>
      </c>
      <c r="FZ2" s="428">
        <f t="shared" si="10"/>
        <v>2016</v>
      </c>
      <c r="GA2" s="428">
        <f t="shared" si="10"/>
        <v>2016</v>
      </c>
      <c r="GB2" s="428">
        <f t="shared" si="10"/>
        <v>2016</v>
      </c>
      <c r="GC2" s="428">
        <f t="shared" si="10"/>
        <v>2016</v>
      </c>
      <c r="GD2" s="428">
        <f t="shared" si="10"/>
        <v>2016</v>
      </c>
      <c r="GE2" s="428">
        <f t="shared" si="10"/>
        <v>2016</v>
      </c>
      <c r="GF2" s="428">
        <f t="shared" si="10"/>
        <v>2016</v>
      </c>
      <c r="GG2" s="428">
        <f t="shared" si="10"/>
        <v>2016</v>
      </c>
      <c r="GH2" s="428">
        <f t="shared" si="10"/>
        <v>2016</v>
      </c>
      <c r="GI2" s="428">
        <f t="shared" si="10"/>
        <v>2016</v>
      </c>
      <c r="GJ2" s="428">
        <f t="shared" si="10"/>
        <v>2016</v>
      </c>
      <c r="GK2" s="428">
        <f t="shared" si="10"/>
        <v>2016</v>
      </c>
      <c r="GL2" s="428">
        <f t="shared" si="10"/>
        <v>1900</v>
      </c>
      <c r="GM2" s="428">
        <f t="shared" si="10"/>
        <v>1900</v>
      </c>
      <c r="GN2" s="428">
        <f t="shared" ref="GN2:IY2" si="11">YEAR(GN12)</f>
        <v>1900</v>
      </c>
      <c r="GO2" s="428">
        <f t="shared" si="11"/>
        <v>1900</v>
      </c>
      <c r="GP2" s="428">
        <f t="shared" si="11"/>
        <v>1900</v>
      </c>
      <c r="GQ2" s="428">
        <f t="shared" si="11"/>
        <v>1900</v>
      </c>
      <c r="GR2" s="428">
        <f t="shared" si="11"/>
        <v>1900</v>
      </c>
      <c r="GS2" s="428">
        <f t="shared" si="11"/>
        <v>1900</v>
      </c>
      <c r="GT2" s="428">
        <f t="shared" si="11"/>
        <v>1900</v>
      </c>
      <c r="GU2" s="428">
        <f t="shared" si="11"/>
        <v>1900</v>
      </c>
      <c r="GV2" s="428">
        <f t="shared" si="11"/>
        <v>1900</v>
      </c>
      <c r="GW2" s="428">
        <f t="shared" si="11"/>
        <v>1900</v>
      </c>
      <c r="GX2" s="428">
        <f t="shared" si="11"/>
        <v>1900</v>
      </c>
      <c r="GY2" s="428">
        <f t="shared" si="11"/>
        <v>1900</v>
      </c>
      <c r="GZ2" s="428">
        <f t="shared" si="11"/>
        <v>1900</v>
      </c>
      <c r="HA2" s="428">
        <f t="shared" si="11"/>
        <v>1900</v>
      </c>
      <c r="HB2" s="428">
        <f t="shared" si="11"/>
        <v>1900</v>
      </c>
      <c r="HC2" s="428">
        <f t="shared" si="11"/>
        <v>1900</v>
      </c>
      <c r="HD2" s="428">
        <f t="shared" si="11"/>
        <v>1900</v>
      </c>
      <c r="HE2" s="428">
        <f t="shared" si="11"/>
        <v>1900</v>
      </c>
      <c r="HF2" s="428">
        <f t="shared" si="11"/>
        <v>1900</v>
      </c>
      <c r="HG2" s="428">
        <f t="shared" si="11"/>
        <v>1900</v>
      </c>
      <c r="HH2" s="428">
        <f t="shared" si="11"/>
        <v>1900</v>
      </c>
      <c r="HI2" s="428">
        <f t="shared" si="11"/>
        <v>1900</v>
      </c>
      <c r="HJ2" s="428">
        <f t="shared" si="11"/>
        <v>1900</v>
      </c>
      <c r="HK2" s="428">
        <f t="shared" si="11"/>
        <v>1900</v>
      </c>
      <c r="HL2" s="428">
        <f t="shared" si="11"/>
        <v>1900</v>
      </c>
      <c r="HM2" s="428">
        <f t="shared" si="11"/>
        <v>1900</v>
      </c>
      <c r="HN2" s="428">
        <f t="shared" si="11"/>
        <v>1900</v>
      </c>
      <c r="HO2" s="428">
        <f t="shared" si="11"/>
        <v>1900</v>
      </c>
      <c r="HP2" s="428">
        <f t="shared" si="11"/>
        <v>1900</v>
      </c>
      <c r="HQ2" s="428">
        <f t="shared" si="11"/>
        <v>1900</v>
      </c>
      <c r="HR2" s="428">
        <f t="shared" si="11"/>
        <v>1900</v>
      </c>
      <c r="HS2" s="428">
        <f t="shared" si="11"/>
        <v>1900</v>
      </c>
      <c r="HT2" s="428">
        <f t="shared" si="11"/>
        <v>1900</v>
      </c>
      <c r="HU2" s="428">
        <f t="shared" si="11"/>
        <v>1900</v>
      </c>
      <c r="HV2" s="428">
        <f t="shared" si="11"/>
        <v>1900</v>
      </c>
      <c r="HW2" s="428">
        <f t="shared" si="11"/>
        <v>1900</v>
      </c>
      <c r="HX2" s="428">
        <f t="shared" si="11"/>
        <v>1900</v>
      </c>
      <c r="HY2" s="428">
        <f t="shared" si="11"/>
        <v>1900</v>
      </c>
      <c r="HZ2" s="428">
        <f t="shared" si="11"/>
        <v>1900</v>
      </c>
      <c r="IA2" s="428">
        <f t="shared" si="11"/>
        <v>1900</v>
      </c>
      <c r="IB2" s="428">
        <f t="shared" si="11"/>
        <v>1900</v>
      </c>
      <c r="IC2" s="428">
        <f t="shared" si="11"/>
        <v>1900</v>
      </c>
      <c r="ID2" s="428">
        <f t="shared" si="11"/>
        <v>1900</v>
      </c>
      <c r="IE2" s="428">
        <f t="shared" si="11"/>
        <v>1900</v>
      </c>
      <c r="IF2" s="428">
        <f t="shared" si="11"/>
        <v>1900</v>
      </c>
      <c r="IG2" s="428">
        <f t="shared" si="11"/>
        <v>1900</v>
      </c>
      <c r="IH2" s="428">
        <f t="shared" si="11"/>
        <v>1900</v>
      </c>
      <c r="II2" s="428">
        <f t="shared" si="11"/>
        <v>1900</v>
      </c>
      <c r="IJ2" s="428">
        <f t="shared" si="11"/>
        <v>1900</v>
      </c>
      <c r="IK2" s="428">
        <f t="shared" si="11"/>
        <v>1900</v>
      </c>
      <c r="IL2" s="428">
        <f t="shared" si="11"/>
        <v>1900</v>
      </c>
      <c r="IM2" s="428">
        <f t="shared" si="11"/>
        <v>1900</v>
      </c>
      <c r="IN2" s="428">
        <f t="shared" si="11"/>
        <v>1900</v>
      </c>
      <c r="IO2" s="428">
        <f t="shared" si="11"/>
        <v>1900</v>
      </c>
      <c r="IP2" s="428">
        <f t="shared" si="11"/>
        <v>1900</v>
      </c>
      <c r="IQ2" s="428">
        <f t="shared" si="11"/>
        <v>1900</v>
      </c>
      <c r="IR2" s="428">
        <f t="shared" si="11"/>
        <v>1900</v>
      </c>
      <c r="IS2" s="428">
        <f t="shared" si="11"/>
        <v>1900</v>
      </c>
      <c r="IT2" s="428">
        <f t="shared" si="11"/>
        <v>1900</v>
      </c>
      <c r="IU2" s="428">
        <f t="shared" si="11"/>
        <v>1900</v>
      </c>
      <c r="IV2" s="428">
        <f t="shared" si="11"/>
        <v>1900</v>
      </c>
      <c r="IW2" s="428">
        <f t="shared" si="11"/>
        <v>1900</v>
      </c>
      <c r="IX2" s="428">
        <f t="shared" si="11"/>
        <v>1900</v>
      </c>
      <c r="IY2" s="428">
        <f t="shared" si="11"/>
        <v>1900</v>
      </c>
      <c r="IZ2" s="428">
        <f t="shared" ref="IZ2:LK2" si="12">YEAR(IZ12)</f>
        <v>1900</v>
      </c>
      <c r="JA2" s="428">
        <f t="shared" si="12"/>
        <v>1900</v>
      </c>
      <c r="JB2" s="428">
        <f t="shared" si="12"/>
        <v>1900</v>
      </c>
      <c r="JC2" s="428">
        <f t="shared" si="12"/>
        <v>1900</v>
      </c>
      <c r="JD2" s="428">
        <f t="shared" si="12"/>
        <v>1900</v>
      </c>
      <c r="JE2" s="428">
        <f t="shared" si="12"/>
        <v>1900</v>
      </c>
      <c r="JF2" s="428">
        <f t="shared" si="12"/>
        <v>1900</v>
      </c>
      <c r="JG2" s="428">
        <f t="shared" si="12"/>
        <v>1900</v>
      </c>
      <c r="JH2" s="428">
        <f t="shared" si="12"/>
        <v>1900</v>
      </c>
      <c r="JI2" s="428">
        <f t="shared" si="12"/>
        <v>1900</v>
      </c>
      <c r="JJ2" s="428">
        <f t="shared" si="12"/>
        <v>1900</v>
      </c>
      <c r="JK2" s="428">
        <f t="shared" si="12"/>
        <v>1900</v>
      </c>
      <c r="JL2" s="428">
        <f t="shared" si="12"/>
        <v>1900</v>
      </c>
      <c r="JM2" s="428">
        <f t="shared" si="12"/>
        <v>1900</v>
      </c>
      <c r="JN2" s="428">
        <f t="shared" si="12"/>
        <v>1900</v>
      </c>
      <c r="JO2" s="428">
        <f t="shared" si="12"/>
        <v>1900</v>
      </c>
      <c r="JP2" s="428">
        <f t="shared" si="12"/>
        <v>1900</v>
      </c>
      <c r="JQ2" s="428">
        <f t="shared" si="12"/>
        <v>1900</v>
      </c>
      <c r="JR2" s="428">
        <f t="shared" si="12"/>
        <v>1900</v>
      </c>
      <c r="JS2" s="428">
        <f t="shared" si="12"/>
        <v>1900</v>
      </c>
      <c r="JT2" s="428">
        <f t="shared" si="12"/>
        <v>1900</v>
      </c>
      <c r="JU2" s="428">
        <f t="shared" si="12"/>
        <v>1900</v>
      </c>
      <c r="JV2" s="428">
        <f t="shared" si="12"/>
        <v>1900</v>
      </c>
      <c r="JW2" s="428">
        <f t="shared" si="12"/>
        <v>1900</v>
      </c>
      <c r="JX2" s="428">
        <f t="shared" si="12"/>
        <v>1900</v>
      </c>
      <c r="JY2" s="428">
        <f t="shared" si="12"/>
        <v>1900</v>
      </c>
      <c r="JZ2" s="428">
        <f t="shared" si="12"/>
        <v>1900</v>
      </c>
      <c r="KA2" s="428">
        <f t="shared" si="12"/>
        <v>1900</v>
      </c>
      <c r="KB2" s="428">
        <f t="shared" si="12"/>
        <v>1900</v>
      </c>
      <c r="KC2" s="428">
        <f t="shared" si="12"/>
        <v>1900</v>
      </c>
      <c r="KD2" s="428">
        <f t="shared" si="12"/>
        <v>1900</v>
      </c>
      <c r="KE2" s="428">
        <f t="shared" si="12"/>
        <v>1900</v>
      </c>
      <c r="KF2" s="428">
        <f t="shared" si="12"/>
        <v>1900</v>
      </c>
      <c r="KG2" s="428">
        <f t="shared" si="12"/>
        <v>1900</v>
      </c>
      <c r="KH2" s="428">
        <f t="shared" si="12"/>
        <v>1900</v>
      </c>
      <c r="KI2" s="428">
        <f t="shared" si="12"/>
        <v>1900</v>
      </c>
      <c r="KJ2" s="428">
        <f t="shared" si="12"/>
        <v>1900</v>
      </c>
      <c r="KK2" s="428">
        <f t="shared" si="12"/>
        <v>1900</v>
      </c>
      <c r="KL2" s="428">
        <f t="shared" si="12"/>
        <v>1900</v>
      </c>
      <c r="KM2" s="428">
        <f t="shared" si="12"/>
        <v>1900</v>
      </c>
      <c r="KN2" s="428">
        <f t="shared" si="12"/>
        <v>1900</v>
      </c>
      <c r="KO2" s="428">
        <f t="shared" si="12"/>
        <v>1900</v>
      </c>
      <c r="KP2" s="428">
        <f t="shared" si="12"/>
        <v>1900</v>
      </c>
      <c r="KQ2" s="428">
        <f t="shared" si="12"/>
        <v>1900</v>
      </c>
      <c r="KR2" s="428">
        <f t="shared" si="12"/>
        <v>1900</v>
      </c>
      <c r="KS2" s="428">
        <f t="shared" si="12"/>
        <v>1900</v>
      </c>
      <c r="KT2" s="428">
        <f t="shared" si="12"/>
        <v>1900</v>
      </c>
      <c r="KU2" s="428">
        <f t="shared" si="12"/>
        <v>1900</v>
      </c>
      <c r="KV2" s="428">
        <f t="shared" si="12"/>
        <v>1900</v>
      </c>
      <c r="KW2" s="428">
        <f t="shared" si="12"/>
        <v>1900</v>
      </c>
      <c r="KX2" s="428">
        <f t="shared" si="12"/>
        <v>1900</v>
      </c>
      <c r="KY2" s="428">
        <f t="shared" si="12"/>
        <v>1900</v>
      </c>
      <c r="KZ2" s="428">
        <f t="shared" si="12"/>
        <v>1900</v>
      </c>
      <c r="LA2" s="428">
        <f t="shared" si="12"/>
        <v>1900</v>
      </c>
      <c r="LB2" s="428">
        <f t="shared" si="12"/>
        <v>1900</v>
      </c>
      <c r="LC2" s="428">
        <f t="shared" si="12"/>
        <v>1900</v>
      </c>
      <c r="LD2" s="428">
        <f t="shared" si="12"/>
        <v>1900</v>
      </c>
      <c r="LE2" s="428">
        <f t="shared" si="12"/>
        <v>1900</v>
      </c>
      <c r="LF2" s="428">
        <f t="shared" si="12"/>
        <v>1900</v>
      </c>
      <c r="LG2" s="428">
        <f t="shared" si="12"/>
        <v>1900</v>
      </c>
      <c r="LH2" s="428">
        <f t="shared" si="12"/>
        <v>1900</v>
      </c>
      <c r="LI2" s="428">
        <f t="shared" si="12"/>
        <v>1900</v>
      </c>
      <c r="LJ2" s="428">
        <f t="shared" si="12"/>
        <v>1900</v>
      </c>
      <c r="LK2" s="428">
        <f t="shared" si="12"/>
        <v>1900</v>
      </c>
      <c r="LL2" s="428">
        <f t="shared" ref="LL2:NW2" si="13">YEAR(LL12)</f>
        <v>1900</v>
      </c>
      <c r="LM2" s="428">
        <f t="shared" si="13"/>
        <v>1900</v>
      </c>
      <c r="LN2" s="428">
        <f t="shared" si="13"/>
        <v>1900</v>
      </c>
      <c r="LO2" s="428">
        <f t="shared" si="13"/>
        <v>1900</v>
      </c>
      <c r="LP2" s="428">
        <f t="shared" si="13"/>
        <v>1900</v>
      </c>
      <c r="LQ2" s="428">
        <f t="shared" si="13"/>
        <v>1900</v>
      </c>
      <c r="LR2" s="428">
        <f t="shared" si="13"/>
        <v>1900</v>
      </c>
      <c r="LS2" s="428">
        <f t="shared" si="13"/>
        <v>1900</v>
      </c>
      <c r="LT2" s="428">
        <f t="shared" si="13"/>
        <v>1900</v>
      </c>
      <c r="LU2" s="428">
        <f t="shared" si="13"/>
        <v>1900</v>
      </c>
      <c r="LV2" s="428">
        <f t="shared" si="13"/>
        <v>1900</v>
      </c>
      <c r="LW2" s="428">
        <f t="shared" si="13"/>
        <v>1900</v>
      </c>
      <c r="LX2" s="428">
        <f t="shared" si="13"/>
        <v>1900</v>
      </c>
      <c r="LY2" s="428">
        <f t="shared" si="13"/>
        <v>1900</v>
      </c>
      <c r="LZ2" s="428">
        <f t="shared" si="13"/>
        <v>1900</v>
      </c>
      <c r="MA2" s="428">
        <f t="shared" si="13"/>
        <v>1900</v>
      </c>
      <c r="MB2" s="428">
        <f t="shared" si="13"/>
        <v>1900</v>
      </c>
      <c r="MC2" s="428">
        <f t="shared" si="13"/>
        <v>1900</v>
      </c>
      <c r="MD2" s="428">
        <f t="shared" si="13"/>
        <v>1900</v>
      </c>
      <c r="ME2" s="428">
        <f t="shared" si="13"/>
        <v>1900</v>
      </c>
      <c r="MF2" s="428">
        <f t="shared" si="13"/>
        <v>1900</v>
      </c>
      <c r="MG2" s="428">
        <f t="shared" si="13"/>
        <v>1900</v>
      </c>
      <c r="MH2" s="428">
        <f t="shared" si="13"/>
        <v>1900</v>
      </c>
      <c r="MI2" s="428">
        <f t="shared" si="13"/>
        <v>1900</v>
      </c>
      <c r="MJ2" s="428">
        <f t="shared" si="13"/>
        <v>1900</v>
      </c>
      <c r="MK2" s="428">
        <f t="shared" si="13"/>
        <v>1900</v>
      </c>
      <c r="ML2" s="428">
        <f t="shared" si="13"/>
        <v>1900</v>
      </c>
      <c r="MM2" s="428">
        <f t="shared" si="13"/>
        <v>1900</v>
      </c>
      <c r="MN2" s="428">
        <f t="shared" si="13"/>
        <v>1900</v>
      </c>
      <c r="MO2" s="428">
        <f t="shared" si="13"/>
        <v>1900</v>
      </c>
      <c r="MP2" s="428">
        <f t="shared" si="13"/>
        <v>1900</v>
      </c>
      <c r="MQ2" s="428">
        <f t="shared" si="13"/>
        <v>1900</v>
      </c>
      <c r="MR2" s="428">
        <f t="shared" si="13"/>
        <v>1900</v>
      </c>
      <c r="MS2" s="428">
        <f t="shared" si="13"/>
        <v>1900</v>
      </c>
      <c r="MT2" s="428">
        <f t="shared" si="13"/>
        <v>1900</v>
      </c>
      <c r="MU2" s="428">
        <f t="shared" si="13"/>
        <v>1900</v>
      </c>
      <c r="MV2" s="428">
        <f t="shared" si="13"/>
        <v>1900</v>
      </c>
      <c r="MW2" s="428">
        <f t="shared" si="13"/>
        <v>1900</v>
      </c>
      <c r="MX2" s="428">
        <f t="shared" si="13"/>
        <v>1900</v>
      </c>
      <c r="MY2" s="428">
        <f t="shared" si="13"/>
        <v>1900</v>
      </c>
      <c r="MZ2" s="428">
        <f t="shared" si="13"/>
        <v>1900</v>
      </c>
      <c r="NA2" s="428">
        <f t="shared" si="13"/>
        <v>1900</v>
      </c>
      <c r="NB2" s="428">
        <f t="shared" si="13"/>
        <v>1900</v>
      </c>
      <c r="NC2" s="428">
        <f t="shared" si="13"/>
        <v>1900</v>
      </c>
      <c r="ND2" s="428">
        <f t="shared" si="13"/>
        <v>1900</v>
      </c>
      <c r="NE2" s="428">
        <f t="shared" si="13"/>
        <v>1900</v>
      </c>
      <c r="NF2" s="428">
        <f t="shared" si="13"/>
        <v>1900</v>
      </c>
      <c r="NG2" s="428">
        <f t="shared" si="13"/>
        <v>1900</v>
      </c>
      <c r="NH2" s="428">
        <f t="shared" si="13"/>
        <v>1900</v>
      </c>
      <c r="NI2" s="428">
        <f t="shared" si="13"/>
        <v>1900</v>
      </c>
      <c r="NJ2" s="428">
        <f t="shared" si="13"/>
        <v>1900</v>
      </c>
      <c r="NK2" s="428">
        <f t="shared" si="13"/>
        <v>1900</v>
      </c>
      <c r="NL2" s="428">
        <f t="shared" si="13"/>
        <v>1900</v>
      </c>
      <c r="NM2" s="428">
        <f t="shared" si="13"/>
        <v>1900</v>
      </c>
      <c r="NN2" s="428">
        <f t="shared" si="13"/>
        <v>1900</v>
      </c>
      <c r="NO2" s="428">
        <f t="shared" si="13"/>
        <v>1900</v>
      </c>
      <c r="NP2" s="428">
        <f t="shared" si="13"/>
        <v>1900</v>
      </c>
      <c r="NQ2" s="428">
        <f t="shared" si="13"/>
        <v>1900</v>
      </c>
      <c r="NR2" s="428">
        <f t="shared" si="13"/>
        <v>1900</v>
      </c>
      <c r="NS2" s="428">
        <f t="shared" si="13"/>
        <v>1900</v>
      </c>
      <c r="NT2" s="428">
        <f t="shared" si="13"/>
        <v>1900</v>
      </c>
      <c r="NU2" s="428">
        <f t="shared" si="13"/>
        <v>1900</v>
      </c>
      <c r="NV2" s="428">
        <f t="shared" si="13"/>
        <v>1900</v>
      </c>
      <c r="NW2" s="428">
        <f t="shared" si="13"/>
        <v>1900</v>
      </c>
      <c r="NX2" s="428">
        <f t="shared" ref="NX2:QI2" si="14">YEAR(NX12)</f>
        <v>1900</v>
      </c>
      <c r="NY2" s="428">
        <f t="shared" si="14"/>
        <v>1900</v>
      </c>
      <c r="NZ2" s="428">
        <f t="shared" si="14"/>
        <v>1900</v>
      </c>
      <c r="OA2" s="428">
        <f t="shared" si="14"/>
        <v>1900</v>
      </c>
      <c r="OB2" s="428">
        <f t="shared" si="14"/>
        <v>1900</v>
      </c>
      <c r="OC2" s="428">
        <f t="shared" si="14"/>
        <v>1900</v>
      </c>
      <c r="OD2" s="428">
        <f t="shared" si="14"/>
        <v>1900</v>
      </c>
      <c r="OE2" s="428">
        <f t="shared" si="14"/>
        <v>1900</v>
      </c>
      <c r="OF2" s="428">
        <f t="shared" si="14"/>
        <v>1900</v>
      </c>
      <c r="OG2" s="428">
        <f t="shared" si="14"/>
        <v>1900</v>
      </c>
      <c r="OH2" s="428">
        <f t="shared" si="14"/>
        <v>1900</v>
      </c>
      <c r="OI2" s="428">
        <f t="shared" si="14"/>
        <v>1900</v>
      </c>
      <c r="OJ2" s="428">
        <f t="shared" si="14"/>
        <v>1900</v>
      </c>
      <c r="OK2" s="428">
        <f t="shared" si="14"/>
        <v>1900</v>
      </c>
      <c r="OL2" s="428">
        <f t="shared" si="14"/>
        <v>1900</v>
      </c>
      <c r="OM2" s="428">
        <f t="shared" si="14"/>
        <v>1900</v>
      </c>
      <c r="ON2" s="428">
        <f t="shared" si="14"/>
        <v>1900</v>
      </c>
      <c r="OO2" s="428">
        <f t="shared" si="14"/>
        <v>1900</v>
      </c>
      <c r="OP2" s="428">
        <f t="shared" si="14"/>
        <v>1900</v>
      </c>
      <c r="OQ2" s="428">
        <f t="shared" si="14"/>
        <v>1900</v>
      </c>
      <c r="OR2" s="428">
        <f t="shared" si="14"/>
        <v>1900</v>
      </c>
      <c r="OS2" s="428">
        <f t="shared" si="14"/>
        <v>1900</v>
      </c>
      <c r="OT2" s="428">
        <f t="shared" si="14"/>
        <v>1900</v>
      </c>
      <c r="OU2" s="428">
        <f t="shared" si="14"/>
        <v>1900</v>
      </c>
      <c r="OV2" s="428">
        <f t="shared" si="14"/>
        <v>1900</v>
      </c>
      <c r="OW2" s="428">
        <f t="shared" si="14"/>
        <v>1900</v>
      </c>
      <c r="OX2" s="428">
        <f t="shared" si="14"/>
        <v>1900</v>
      </c>
      <c r="OY2" s="428">
        <f t="shared" si="14"/>
        <v>1900</v>
      </c>
      <c r="OZ2" s="428">
        <f t="shared" si="14"/>
        <v>1900</v>
      </c>
      <c r="PA2" s="428">
        <f t="shared" si="14"/>
        <v>1900</v>
      </c>
      <c r="PB2" s="428">
        <f t="shared" si="14"/>
        <v>1900</v>
      </c>
      <c r="PC2" s="428">
        <f t="shared" si="14"/>
        <v>1900</v>
      </c>
      <c r="PD2" s="428">
        <f t="shared" si="14"/>
        <v>1900</v>
      </c>
      <c r="PE2" s="428">
        <f t="shared" si="14"/>
        <v>1900</v>
      </c>
      <c r="PF2" s="428">
        <f t="shared" si="14"/>
        <v>1900</v>
      </c>
      <c r="PG2" s="428">
        <f t="shared" si="14"/>
        <v>1900</v>
      </c>
      <c r="PH2" s="428">
        <f t="shared" si="14"/>
        <v>1900</v>
      </c>
      <c r="PI2" s="428">
        <f t="shared" si="14"/>
        <v>1900</v>
      </c>
      <c r="PJ2" s="428">
        <f t="shared" si="14"/>
        <v>1900</v>
      </c>
      <c r="PK2" s="428">
        <f t="shared" si="14"/>
        <v>1900</v>
      </c>
      <c r="PL2" s="428">
        <f t="shared" si="14"/>
        <v>1900</v>
      </c>
      <c r="PM2" s="428">
        <f t="shared" si="14"/>
        <v>1900</v>
      </c>
      <c r="PN2" s="428">
        <f t="shared" si="14"/>
        <v>1900</v>
      </c>
      <c r="PO2" s="428">
        <f t="shared" si="14"/>
        <v>1900</v>
      </c>
      <c r="PP2" s="428">
        <f t="shared" si="14"/>
        <v>1900</v>
      </c>
      <c r="PQ2" s="428">
        <f t="shared" si="14"/>
        <v>1900</v>
      </c>
      <c r="PR2" s="428">
        <f t="shared" si="14"/>
        <v>1900</v>
      </c>
      <c r="PS2" s="428">
        <f t="shared" si="14"/>
        <v>1900</v>
      </c>
      <c r="PT2" s="428">
        <f t="shared" si="14"/>
        <v>1900</v>
      </c>
      <c r="PU2" s="428">
        <f t="shared" si="14"/>
        <v>1900</v>
      </c>
      <c r="PV2" s="428">
        <f t="shared" si="14"/>
        <v>1900</v>
      </c>
      <c r="PW2" s="428">
        <f t="shared" si="14"/>
        <v>1900</v>
      </c>
      <c r="PX2" s="428">
        <f t="shared" si="14"/>
        <v>1900</v>
      </c>
      <c r="PY2" s="428">
        <f t="shared" si="14"/>
        <v>1900</v>
      </c>
      <c r="PZ2" s="428">
        <f t="shared" si="14"/>
        <v>1900</v>
      </c>
      <c r="QA2" s="428">
        <f t="shared" si="14"/>
        <v>1900</v>
      </c>
      <c r="QB2" s="428">
        <f t="shared" si="14"/>
        <v>1900</v>
      </c>
      <c r="QC2" s="428">
        <f t="shared" si="14"/>
        <v>1900</v>
      </c>
      <c r="QD2" s="428">
        <f t="shared" si="14"/>
        <v>1900</v>
      </c>
      <c r="QE2" s="428">
        <f t="shared" si="14"/>
        <v>1900</v>
      </c>
      <c r="QF2" s="428">
        <f t="shared" si="14"/>
        <v>1900</v>
      </c>
      <c r="QG2" s="428">
        <f t="shared" si="14"/>
        <v>1900</v>
      </c>
      <c r="QH2" s="428">
        <f t="shared" si="14"/>
        <v>1900</v>
      </c>
      <c r="QI2" s="428">
        <f t="shared" si="14"/>
        <v>1900</v>
      </c>
      <c r="QJ2" s="428">
        <f t="shared" ref="QJ2:SD2" si="15">YEAR(QJ12)</f>
        <v>1900</v>
      </c>
      <c r="QK2" s="428">
        <f t="shared" si="15"/>
        <v>1900</v>
      </c>
      <c r="QL2" s="428">
        <f t="shared" si="15"/>
        <v>1900</v>
      </c>
      <c r="QM2" s="428">
        <f t="shared" si="15"/>
        <v>1900</v>
      </c>
      <c r="QN2" s="428">
        <f t="shared" si="15"/>
        <v>1900</v>
      </c>
      <c r="QO2" s="428">
        <f t="shared" si="15"/>
        <v>1900</v>
      </c>
      <c r="QP2" s="428">
        <f t="shared" si="15"/>
        <v>1900</v>
      </c>
      <c r="QQ2" s="428">
        <f t="shared" si="15"/>
        <v>1900</v>
      </c>
      <c r="QR2" s="428">
        <f t="shared" si="15"/>
        <v>1900</v>
      </c>
      <c r="QS2" s="428">
        <f t="shared" si="15"/>
        <v>1900</v>
      </c>
      <c r="QT2" s="428">
        <f t="shared" si="15"/>
        <v>1900</v>
      </c>
      <c r="QU2" s="428">
        <f t="shared" si="15"/>
        <v>1900</v>
      </c>
      <c r="QV2" s="428">
        <f t="shared" si="15"/>
        <v>1900</v>
      </c>
      <c r="QW2" s="428">
        <f t="shared" si="15"/>
        <v>1900</v>
      </c>
      <c r="QX2" s="428">
        <f t="shared" si="15"/>
        <v>1900</v>
      </c>
      <c r="QY2" s="428">
        <f t="shared" si="15"/>
        <v>1900</v>
      </c>
      <c r="QZ2" s="428">
        <f t="shared" si="15"/>
        <v>1900</v>
      </c>
      <c r="RA2" s="428">
        <f t="shared" si="15"/>
        <v>1900</v>
      </c>
      <c r="RB2" s="428">
        <f t="shared" si="15"/>
        <v>1900</v>
      </c>
      <c r="RC2" s="428">
        <f t="shared" si="15"/>
        <v>1900</v>
      </c>
      <c r="RD2" s="428">
        <f t="shared" si="15"/>
        <v>1900</v>
      </c>
      <c r="RE2" s="428">
        <f t="shared" si="15"/>
        <v>1900</v>
      </c>
      <c r="RF2" s="428">
        <f t="shared" si="15"/>
        <v>1900</v>
      </c>
      <c r="RG2" s="428">
        <f t="shared" si="15"/>
        <v>1900</v>
      </c>
      <c r="RH2" s="428">
        <f t="shared" si="15"/>
        <v>1900</v>
      </c>
      <c r="RI2" s="428">
        <f t="shared" si="15"/>
        <v>1900</v>
      </c>
      <c r="RJ2" s="428">
        <f t="shared" si="15"/>
        <v>1900</v>
      </c>
      <c r="RK2" s="428">
        <f t="shared" si="15"/>
        <v>1900</v>
      </c>
      <c r="RL2" s="428">
        <f t="shared" si="15"/>
        <v>1900</v>
      </c>
      <c r="RM2" s="428">
        <f t="shared" si="15"/>
        <v>1900</v>
      </c>
      <c r="RN2" s="428">
        <f t="shared" si="15"/>
        <v>1900</v>
      </c>
      <c r="RO2" s="428">
        <f t="shared" si="15"/>
        <v>1900</v>
      </c>
      <c r="RP2" s="428">
        <f t="shared" si="15"/>
        <v>1900</v>
      </c>
      <c r="RQ2" s="428">
        <f t="shared" si="15"/>
        <v>1900</v>
      </c>
      <c r="RR2" s="428">
        <f t="shared" si="15"/>
        <v>1900</v>
      </c>
      <c r="RS2" s="428">
        <f t="shared" si="15"/>
        <v>1900</v>
      </c>
      <c r="RT2" s="428">
        <f t="shared" si="15"/>
        <v>1900</v>
      </c>
      <c r="RU2" s="428">
        <f t="shared" si="15"/>
        <v>1900</v>
      </c>
      <c r="RV2" s="428">
        <f t="shared" si="15"/>
        <v>1900</v>
      </c>
      <c r="RW2" s="428">
        <f t="shared" si="15"/>
        <v>1900</v>
      </c>
      <c r="RX2" s="428">
        <f t="shared" si="15"/>
        <v>1900</v>
      </c>
      <c r="RY2" s="428">
        <f t="shared" si="15"/>
        <v>1900</v>
      </c>
      <c r="RZ2" s="428">
        <f t="shared" si="15"/>
        <v>1900</v>
      </c>
      <c r="SA2" s="428">
        <f t="shared" si="15"/>
        <v>1900</v>
      </c>
      <c r="SB2" s="428">
        <f t="shared" si="15"/>
        <v>1900</v>
      </c>
      <c r="SC2" s="428">
        <f t="shared" si="15"/>
        <v>1900</v>
      </c>
      <c r="SD2" s="428">
        <f t="shared" si="15"/>
        <v>1900</v>
      </c>
    </row>
    <row r="11" spans="1:498" ht="15.75" thickBot="1">
      <c r="A11" s="357" t="s">
        <v>328</v>
      </c>
    </row>
    <row r="12" spans="1:498" ht="15.75" thickBot="1">
      <c r="A12" s="26" t="s">
        <v>177</v>
      </c>
      <c r="B12" s="230">
        <v>36892</v>
      </c>
      <c r="C12" s="230">
        <v>36923</v>
      </c>
      <c r="D12" s="230">
        <v>36951</v>
      </c>
      <c r="E12" s="230">
        <v>36982</v>
      </c>
      <c r="F12" s="230">
        <v>37012</v>
      </c>
      <c r="G12" s="230">
        <v>37043</v>
      </c>
      <c r="H12" s="230">
        <v>37073</v>
      </c>
      <c r="I12" s="230">
        <v>37104</v>
      </c>
      <c r="J12" s="230">
        <v>37135</v>
      </c>
      <c r="K12" s="230">
        <v>37165</v>
      </c>
      <c r="L12" s="230">
        <v>37196</v>
      </c>
      <c r="M12" s="230">
        <v>37226</v>
      </c>
      <c r="N12" s="230">
        <v>37257</v>
      </c>
      <c r="O12" s="230">
        <v>37288</v>
      </c>
      <c r="P12" s="230">
        <v>37316</v>
      </c>
      <c r="Q12" s="230">
        <v>37347</v>
      </c>
      <c r="R12" s="230">
        <v>37377</v>
      </c>
      <c r="S12" s="230">
        <v>37408</v>
      </c>
      <c r="T12" s="230">
        <v>37438</v>
      </c>
      <c r="U12" s="230">
        <v>37469</v>
      </c>
      <c r="V12" s="230">
        <v>37500</v>
      </c>
      <c r="W12" s="230">
        <v>37530</v>
      </c>
      <c r="X12" s="230">
        <v>37561</v>
      </c>
      <c r="Y12" s="230">
        <v>37591</v>
      </c>
      <c r="Z12" s="230">
        <v>37622</v>
      </c>
      <c r="AA12" s="230">
        <v>37653</v>
      </c>
      <c r="AB12" s="230">
        <v>37681</v>
      </c>
      <c r="AC12" s="230">
        <v>37712</v>
      </c>
      <c r="AD12" s="230">
        <v>37742</v>
      </c>
      <c r="AE12" s="230">
        <v>37773</v>
      </c>
      <c r="AF12" s="230">
        <v>37803</v>
      </c>
      <c r="AG12" s="230">
        <v>37834</v>
      </c>
      <c r="AH12" s="230">
        <v>37865</v>
      </c>
      <c r="AI12" s="230">
        <v>37895</v>
      </c>
      <c r="AJ12" s="230">
        <v>37926</v>
      </c>
      <c r="AK12" s="230">
        <v>37956</v>
      </c>
      <c r="AL12" s="230">
        <v>37987</v>
      </c>
      <c r="AM12" s="230">
        <v>38018</v>
      </c>
      <c r="AN12" s="230">
        <v>38047</v>
      </c>
      <c r="AO12" s="230">
        <v>38078</v>
      </c>
      <c r="AP12" s="230">
        <v>38108</v>
      </c>
      <c r="AQ12" s="230">
        <v>38139</v>
      </c>
      <c r="AR12" s="230">
        <v>38169</v>
      </c>
      <c r="AS12" s="230">
        <v>38200</v>
      </c>
      <c r="AT12" s="230">
        <v>38231</v>
      </c>
      <c r="AU12" s="230">
        <v>38261</v>
      </c>
      <c r="AV12" s="230">
        <v>38292</v>
      </c>
      <c r="AW12" s="230">
        <v>38322</v>
      </c>
      <c r="AX12" s="230">
        <v>38353</v>
      </c>
      <c r="AY12" s="230">
        <v>38384</v>
      </c>
      <c r="AZ12" s="230">
        <v>38412</v>
      </c>
      <c r="BA12" s="230">
        <v>38443</v>
      </c>
      <c r="BB12" s="230">
        <v>38473</v>
      </c>
      <c r="BC12" s="230">
        <v>38504</v>
      </c>
      <c r="BD12" s="230">
        <v>38534</v>
      </c>
      <c r="BE12" s="230">
        <v>38565</v>
      </c>
      <c r="BF12" s="230">
        <v>38596</v>
      </c>
      <c r="BG12" s="230">
        <v>38626</v>
      </c>
      <c r="BH12" s="230">
        <v>38657</v>
      </c>
      <c r="BI12" s="230">
        <v>38687</v>
      </c>
      <c r="BJ12" s="230">
        <v>38718</v>
      </c>
      <c r="BK12" s="230">
        <v>38749</v>
      </c>
      <c r="BL12" s="230">
        <v>38777</v>
      </c>
      <c r="BM12" s="230">
        <v>38808</v>
      </c>
      <c r="BN12" s="230">
        <v>38838</v>
      </c>
      <c r="BO12" s="230">
        <v>38869</v>
      </c>
      <c r="BP12" s="230">
        <v>38899</v>
      </c>
      <c r="BQ12" s="230">
        <v>38930</v>
      </c>
      <c r="BR12" s="230">
        <v>38961</v>
      </c>
      <c r="BS12" s="230">
        <v>38991</v>
      </c>
      <c r="BT12" s="230">
        <v>39022</v>
      </c>
      <c r="BU12" s="230">
        <v>39052</v>
      </c>
      <c r="BV12" s="230">
        <v>39083</v>
      </c>
      <c r="BW12" s="230">
        <v>39114</v>
      </c>
      <c r="BX12" s="230">
        <v>39142</v>
      </c>
      <c r="BY12" s="230">
        <v>39173</v>
      </c>
      <c r="BZ12" s="230">
        <v>39203</v>
      </c>
      <c r="CA12" s="230">
        <v>39234</v>
      </c>
      <c r="CB12" s="230">
        <v>39264</v>
      </c>
      <c r="CC12" s="230">
        <v>39295</v>
      </c>
      <c r="CD12" s="230">
        <v>39326</v>
      </c>
      <c r="CE12" s="230">
        <v>39356</v>
      </c>
      <c r="CF12" s="438">
        <v>39387</v>
      </c>
      <c r="CG12" s="438">
        <v>39417</v>
      </c>
      <c r="CH12" s="438">
        <v>39448</v>
      </c>
      <c r="CI12" s="438">
        <v>39479</v>
      </c>
      <c r="CJ12" s="438">
        <v>39508</v>
      </c>
      <c r="CK12" s="438">
        <v>39539</v>
      </c>
      <c r="CL12" s="438">
        <v>39569</v>
      </c>
      <c r="CM12" s="438">
        <v>39600</v>
      </c>
      <c r="CN12" s="438">
        <v>39630</v>
      </c>
      <c r="CO12" s="438">
        <v>39661</v>
      </c>
      <c r="CP12" s="438">
        <v>39692</v>
      </c>
      <c r="CQ12" s="438">
        <v>39722</v>
      </c>
      <c r="CR12" s="438">
        <v>39753</v>
      </c>
      <c r="CS12" s="438">
        <v>39783</v>
      </c>
      <c r="CT12" s="438">
        <v>39814</v>
      </c>
      <c r="CU12" s="438">
        <v>39845</v>
      </c>
      <c r="CV12" s="438">
        <v>39873</v>
      </c>
      <c r="CW12" s="438">
        <v>39904</v>
      </c>
      <c r="CX12" s="438">
        <v>39934</v>
      </c>
      <c r="CY12" s="438">
        <v>39965</v>
      </c>
      <c r="CZ12" s="438">
        <v>39995</v>
      </c>
      <c r="DA12" s="438">
        <v>40026</v>
      </c>
      <c r="DB12" s="438">
        <v>40057</v>
      </c>
      <c r="DC12" s="438">
        <v>40087</v>
      </c>
      <c r="DD12" s="438">
        <v>40118</v>
      </c>
      <c r="DE12" s="438">
        <v>40148</v>
      </c>
      <c r="DF12" s="438">
        <v>40179</v>
      </c>
      <c r="DG12" s="438">
        <v>40210</v>
      </c>
      <c r="DH12" s="438">
        <v>40238</v>
      </c>
      <c r="DI12" s="438">
        <v>40269</v>
      </c>
      <c r="DJ12" s="438">
        <v>40299</v>
      </c>
      <c r="DK12" s="438">
        <v>40330</v>
      </c>
      <c r="DL12" s="438">
        <v>40360</v>
      </c>
      <c r="DM12" s="438">
        <v>40391</v>
      </c>
      <c r="DN12" s="438">
        <v>40422</v>
      </c>
      <c r="DO12" s="438">
        <v>40452</v>
      </c>
      <c r="DP12" s="438">
        <v>40483</v>
      </c>
      <c r="DQ12" s="438">
        <v>40513</v>
      </c>
      <c r="DR12" s="438">
        <v>40544</v>
      </c>
      <c r="DS12" s="438">
        <v>40575</v>
      </c>
      <c r="DT12" s="438">
        <v>40603</v>
      </c>
      <c r="DU12" s="438">
        <v>40634</v>
      </c>
      <c r="DV12" s="438">
        <v>40664</v>
      </c>
      <c r="DW12" s="438">
        <v>40695</v>
      </c>
      <c r="DX12" s="438">
        <v>40725</v>
      </c>
      <c r="DY12" s="438">
        <v>40756</v>
      </c>
      <c r="DZ12" s="438">
        <v>40787</v>
      </c>
      <c r="EA12" s="438">
        <v>40817</v>
      </c>
      <c r="EB12" s="438">
        <v>40848</v>
      </c>
      <c r="EC12" s="438">
        <v>40878</v>
      </c>
      <c r="ED12" s="438">
        <v>40909</v>
      </c>
      <c r="EE12" s="438">
        <v>40940</v>
      </c>
      <c r="EF12" s="438">
        <v>40969</v>
      </c>
      <c r="EG12" s="438">
        <v>41000</v>
      </c>
      <c r="EH12" s="438">
        <v>41030</v>
      </c>
      <c r="EI12" s="438">
        <v>41061</v>
      </c>
      <c r="EJ12" s="438">
        <v>41091</v>
      </c>
      <c r="EK12" s="438">
        <v>41122</v>
      </c>
      <c r="EL12" s="438">
        <v>41153</v>
      </c>
      <c r="EM12" s="438">
        <v>41183</v>
      </c>
      <c r="EN12" s="438">
        <v>41214</v>
      </c>
      <c r="EO12" s="438">
        <v>41244</v>
      </c>
      <c r="EP12" s="438">
        <v>41275</v>
      </c>
      <c r="EQ12" s="438">
        <v>41306</v>
      </c>
      <c r="ER12" s="438">
        <v>41334</v>
      </c>
      <c r="ES12" s="438">
        <v>41365</v>
      </c>
      <c r="ET12" s="438">
        <v>41395</v>
      </c>
      <c r="EU12" s="438">
        <v>41426</v>
      </c>
      <c r="EV12" s="438">
        <v>41456</v>
      </c>
      <c r="EW12" s="438">
        <v>41487</v>
      </c>
      <c r="EX12" s="438">
        <v>41518</v>
      </c>
      <c r="EY12" s="438">
        <v>41548</v>
      </c>
      <c r="EZ12" s="438">
        <v>41579</v>
      </c>
      <c r="FA12" s="438">
        <v>41609</v>
      </c>
      <c r="FB12" s="438">
        <v>41640</v>
      </c>
      <c r="FC12" s="438">
        <v>41671</v>
      </c>
      <c r="FD12" s="438">
        <v>41699</v>
      </c>
      <c r="FE12" s="438">
        <v>41730</v>
      </c>
      <c r="FF12" s="438">
        <v>41760</v>
      </c>
      <c r="FG12" s="438">
        <v>41791</v>
      </c>
      <c r="FH12" s="438">
        <v>41821</v>
      </c>
      <c r="FI12" s="438">
        <v>41852</v>
      </c>
      <c r="FJ12" s="438">
        <v>41883</v>
      </c>
      <c r="FK12" s="438">
        <v>41913</v>
      </c>
      <c r="FL12" s="438">
        <v>41944</v>
      </c>
      <c r="FM12" s="438">
        <v>41974</v>
      </c>
      <c r="FN12" s="438">
        <v>42005</v>
      </c>
      <c r="FO12" s="438">
        <v>42036</v>
      </c>
      <c r="FP12" s="438">
        <v>42064</v>
      </c>
      <c r="FQ12" s="438">
        <v>42095</v>
      </c>
      <c r="FR12" s="438">
        <v>42125</v>
      </c>
      <c r="FS12" s="438">
        <v>42156</v>
      </c>
      <c r="FT12" s="438">
        <v>42186</v>
      </c>
      <c r="FU12" s="438">
        <v>42217</v>
      </c>
      <c r="FV12" s="438">
        <v>42248</v>
      </c>
      <c r="FW12" s="438">
        <v>42278</v>
      </c>
      <c r="FX12" s="438">
        <v>42309</v>
      </c>
      <c r="FY12" s="438">
        <v>42339</v>
      </c>
      <c r="FZ12" s="438">
        <v>42370</v>
      </c>
      <c r="GA12" s="438">
        <v>42401</v>
      </c>
      <c r="GB12" s="438">
        <v>42430</v>
      </c>
      <c r="GC12" s="438">
        <v>42461</v>
      </c>
      <c r="GD12" s="438">
        <v>42491</v>
      </c>
      <c r="GE12" s="438">
        <v>42522</v>
      </c>
      <c r="GF12" s="438">
        <v>42552</v>
      </c>
      <c r="GG12" s="438">
        <v>42583</v>
      </c>
      <c r="GH12" s="438">
        <v>42614</v>
      </c>
      <c r="GI12" s="438">
        <v>42644</v>
      </c>
      <c r="GJ12" s="438">
        <v>42675</v>
      </c>
      <c r="GK12" s="439">
        <v>42705</v>
      </c>
    </row>
    <row r="13" spans="1:498">
      <c r="A13" s="231" t="s">
        <v>337</v>
      </c>
      <c r="B13" s="348">
        <v>597</v>
      </c>
      <c r="C13" s="348">
        <v>607</v>
      </c>
      <c r="D13" s="348">
        <v>638</v>
      </c>
      <c r="E13" s="348">
        <v>664</v>
      </c>
      <c r="F13" s="348">
        <v>674</v>
      </c>
      <c r="G13" s="348">
        <v>624</v>
      </c>
      <c r="H13" s="348">
        <v>634</v>
      </c>
      <c r="I13" s="348">
        <v>653</v>
      </c>
      <c r="J13" s="348">
        <v>623</v>
      </c>
      <c r="K13" s="348">
        <v>638</v>
      </c>
      <c r="L13" s="348">
        <v>620</v>
      </c>
      <c r="M13" s="348">
        <v>592</v>
      </c>
      <c r="N13" s="348">
        <v>594</v>
      </c>
      <c r="O13" s="348">
        <v>471</v>
      </c>
      <c r="P13" s="348">
        <v>697</v>
      </c>
      <c r="Q13" s="348">
        <v>615</v>
      </c>
      <c r="R13" s="348">
        <v>662</v>
      </c>
      <c r="S13" s="348">
        <v>632</v>
      </c>
      <c r="T13" s="348">
        <v>615</v>
      </c>
      <c r="U13" s="348">
        <v>523</v>
      </c>
      <c r="V13" s="348">
        <v>612</v>
      </c>
      <c r="W13" s="348">
        <v>671</v>
      </c>
      <c r="X13" s="348">
        <v>632</v>
      </c>
      <c r="Y13" s="348">
        <v>594</v>
      </c>
      <c r="Z13" s="348">
        <v>587</v>
      </c>
      <c r="AA13" s="348">
        <v>556</v>
      </c>
      <c r="AB13" s="348">
        <v>626</v>
      </c>
      <c r="AC13" s="348">
        <v>659</v>
      </c>
      <c r="AD13" s="348">
        <v>600</v>
      </c>
      <c r="AE13" s="348">
        <v>590</v>
      </c>
      <c r="AF13" s="348">
        <v>614</v>
      </c>
      <c r="AG13" s="348">
        <v>551</v>
      </c>
      <c r="AH13" s="348">
        <v>551</v>
      </c>
      <c r="AI13" s="348">
        <v>555</v>
      </c>
      <c r="AJ13" s="348">
        <v>366</v>
      </c>
      <c r="AK13" s="348">
        <v>301</v>
      </c>
      <c r="AL13" s="348">
        <v>320</v>
      </c>
      <c r="AM13" s="348">
        <v>326</v>
      </c>
      <c r="AN13" s="348">
        <v>336</v>
      </c>
      <c r="AO13" s="348">
        <v>360</v>
      </c>
      <c r="AP13" s="348">
        <v>388</v>
      </c>
      <c r="AQ13" s="348">
        <v>415</v>
      </c>
      <c r="AR13" s="348">
        <v>397</v>
      </c>
      <c r="AS13" s="348">
        <v>431</v>
      </c>
      <c r="AT13" s="348">
        <v>459</v>
      </c>
      <c r="AU13" s="348">
        <v>459</v>
      </c>
      <c r="AV13" s="348">
        <v>481</v>
      </c>
      <c r="AW13" s="348">
        <v>450</v>
      </c>
      <c r="AX13" s="348">
        <v>515</v>
      </c>
      <c r="AY13" s="348">
        <v>517</v>
      </c>
      <c r="AZ13" s="348">
        <v>520</v>
      </c>
      <c r="BA13" s="348">
        <v>539</v>
      </c>
      <c r="BB13" s="348">
        <v>543</v>
      </c>
      <c r="BC13" s="348">
        <v>550</v>
      </c>
      <c r="BD13" s="348">
        <v>578</v>
      </c>
      <c r="BE13" s="348">
        <v>582</v>
      </c>
      <c r="BF13" s="348">
        <v>709</v>
      </c>
      <c r="BG13" s="348">
        <v>727</v>
      </c>
      <c r="BH13" s="348">
        <v>719</v>
      </c>
      <c r="BI13" s="348">
        <v>622</v>
      </c>
      <c r="BJ13" s="348">
        <v>658</v>
      </c>
      <c r="BK13" s="348">
        <v>659</v>
      </c>
      <c r="BL13" s="348">
        <v>777</v>
      </c>
      <c r="BM13" s="348">
        <v>791</v>
      </c>
      <c r="BN13" s="348">
        <v>912</v>
      </c>
      <c r="BO13" s="348">
        <v>734</v>
      </c>
      <c r="BP13" s="348">
        <v>733</v>
      </c>
      <c r="BQ13" s="348">
        <v>765</v>
      </c>
      <c r="BR13" s="348">
        <v>769</v>
      </c>
      <c r="BS13" s="348">
        <v>776</v>
      </c>
      <c r="BT13" s="348">
        <v>810</v>
      </c>
      <c r="BU13" s="348">
        <v>762</v>
      </c>
      <c r="BV13" s="348">
        <v>855</v>
      </c>
      <c r="BW13" s="348">
        <v>908</v>
      </c>
      <c r="BX13" s="348">
        <v>929</v>
      </c>
      <c r="BY13" s="348">
        <v>959</v>
      </c>
      <c r="BZ13" s="348">
        <v>970</v>
      </c>
      <c r="CA13" s="348">
        <v>918</v>
      </c>
      <c r="CB13" s="348">
        <v>980</v>
      </c>
      <c r="CC13" s="348">
        <v>992</v>
      </c>
      <c r="CD13" s="348">
        <v>1027</v>
      </c>
      <c r="CE13" s="348">
        <v>1074</v>
      </c>
      <c r="CF13" s="441">
        <v>1118</v>
      </c>
      <c r="CG13" s="441">
        <v>1108</v>
      </c>
      <c r="CH13" s="441">
        <v>1156</v>
      </c>
      <c r="CI13" s="441">
        <v>1171</v>
      </c>
      <c r="CJ13" s="441">
        <v>1161</v>
      </c>
      <c r="CK13" s="441">
        <v>1117</v>
      </c>
      <c r="CL13" s="441">
        <v>1158</v>
      </c>
      <c r="CM13" s="441">
        <v>1162</v>
      </c>
      <c r="CN13" s="441">
        <v>1196</v>
      </c>
      <c r="CO13" s="441">
        <v>1466</v>
      </c>
      <c r="CP13" s="441">
        <v>1120</v>
      </c>
      <c r="CQ13" s="441">
        <v>1140</v>
      </c>
      <c r="CR13" s="441">
        <v>1055</v>
      </c>
      <c r="CS13" s="441">
        <v>1073</v>
      </c>
      <c r="CT13" s="441">
        <v>927</v>
      </c>
      <c r="CU13" s="441">
        <v>868</v>
      </c>
      <c r="CV13" s="441">
        <v>910</v>
      </c>
      <c r="CW13" s="441">
        <v>852</v>
      </c>
      <c r="CX13" s="441">
        <v>864</v>
      </c>
      <c r="CY13" s="441">
        <v>849</v>
      </c>
      <c r="CZ13" s="441">
        <v>861</v>
      </c>
      <c r="DA13" s="441">
        <v>845</v>
      </c>
      <c r="DB13" s="441">
        <v>837</v>
      </c>
      <c r="DC13" s="441">
        <v>871</v>
      </c>
      <c r="DD13" s="441">
        <v>859</v>
      </c>
      <c r="DE13" s="441">
        <v>864</v>
      </c>
      <c r="DF13" s="441">
        <v>708</v>
      </c>
      <c r="DG13" s="441">
        <v>779</v>
      </c>
      <c r="DH13" s="441">
        <v>831</v>
      </c>
      <c r="DI13" s="441">
        <v>854</v>
      </c>
      <c r="DJ13" s="441">
        <v>891</v>
      </c>
      <c r="DK13" s="441">
        <v>900</v>
      </c>
      <c r="DL13" s="441">
        <v>922</v>
      </c>
      <c r="DM13" s="441">
        <v>927</v>
      </c>
      <c r="DN13" s="441">
        <v>845</v>
      </c>
      <c r="DO13" s="441">
        <v>905</v>
      </c>
      <c r="DP13" s="441">
        <v>936</v>
      </c>
      <c r="DQ13" s="441">
        <v>989</v>
      </c>
      <c r="DR13" s="441">
        <v>1016</v>
      </c>
      <c r="DS13" s="441">
        <v>954</v>
      </c>
      <c r="DT13" s="441">
        <v>1076</v>
      </c>
      <c r="DU13" s="441">
        <v>853</v>
      </c>
      <c r="DV13" s="441">
        <v>1078</v>
      </c>
      <c r="DW13" s="441">
        <v>1101</v>
      </c>
      <c r="DX13" s="441">
        <v>1140</v>
      </c>
      <c r="DY13" s="441">
        <v>1142</v>
      </c>
      <c r="DZ13" s="441">
        <v>1152</v>
      </c>
      <c r="EA13" s="441">
        <v>1131</v>
      </c>
      <c r="EB13" s="441">
        <v>1173</v>
      </c>
      <c r="EC13" s="441">
        <v>1128</v>
      </c>
      <c r="ED13" s="441">
        <v>1177</v>
      </c>
      <c r="EE13" s="441">
        <v>1176</v>
      </c>
      <c r="EF13" s="441">
        <v>1205</v>
      </c>
      <c r="EG13" s="441">
        <v>1152</v>
      </c>
      <c r="EH13" s="441">
        <v>1297</v>
      </c>
      <c r="EI13" s="441">
        <v>1237</v>
      </c>
      <c r="EJ13" s="441">
        <v>1297</v>
      </c>
      <c r="EK13" s="441">
        <v>1336</v>
      </c>
      <c r="EL13" s="441">
        <v>1279</v>
      </c>
      <c r="EM13" s="441">
        <v>1337</v>
      </c>
      <c r="EN13" s="441">
        <v>1234</v>
      </c>
      <c r="EO13" s="441">
        <v>1190</v>
      </c>
      <c r="EP13" s="441">
        <v>1210</v>
      </c>
      <c r="EQ13" s="441">
        <v>1184</v>
      </c>
      <c r="ER13" s="441">
        <v>1284</v>
      </c>
      <c r="ES13" s="441">
        <v>1264</v>
      </c>
      <c r="ET13" s="441">
        <v>1328</v>
      </c>
      <c r="EU13" s="441">
        <v>1282</v>
      </c>
      <c r="EV13" s="441">
        <v>1336</v>
      </c>
      <c r="EW13" s="441">
        <v>1324</v>
      </c>
      <c r="EX13" s="441">
        <v>1264</v>
      </c>
      <c r="EY13" s="441">
        <v>1347</v>
      </c>
      <c r="EZ13" s="441">
        <v>1276</v>
      </c>
      <c r="FA13" s="441">
        <v>1266</v>
      </c>
      <c r="FB13" s="441">
        <v>1290</v>
      </c>
      <c r="FC13" s="441">
        <v>1200</v>
      </c>
      <c r="FD13" s="441">
        <v>1215</v>
      </c>
      <c r="FE13" s="441">
        <v>920</v>
      </c>
      <c r="FF13" s="441">
        <v>994</v>
      </c>
      <c r="FG13" s="441">
        <v>983</v>
      </c>
      <c r="FH13" s="441">
        <v>1040</v>
      </c>
      <c r="FI13" s="441">
        <v>1168</v>
      </c>
      <c r="FJ13" s="441">
        <v>1146</v>
      </c>
      <c r="FK13" s="441">
        <v>1174</v>
      </c>
      <c r="FL13" s="441">
        <v>1120</v>
      </c>
      <c r="FM13" s="441">
        <v>1093</v>
      </c>
      <c r="FN13" s="441">
        <v>1093</v>
      </c>
      <c r="FO13" s="441">
        <v>968</v>
      </c>
      <c r="FP13" s="441">
        <v>1027</v>
      </c>
      <c r="FQ13" s="441">
        <v>992</v>
      </c>
      <c r="FR13" s="441">
        <v>1028</v>
      </c>
      <c r="FS13" s="441">
        <v>998</v>
      </c>
      <c r="FT13" s="441">
        <v>1028</v>
      </c>
      <c r="FU13" s="441">
        <v>1018</v>
      </c>
      <c r="FV13" s="441">
        <v>953</v>
      </c>
      <c r="FW13" s="441">
        <v>984</v>
      </c>
      <c r="FX13" s="441">
        <v>966</v>
      </c>
      <c r="FY13" s="441">
        <v>979</v>
      </c>
      <c r="FZ13" s="441">
        <v>929</v>
      </c>
      <c r="GA13" s="441">
        <v>902</v>
      </c>
      <c r="GB13" s="441">
        <v>921</v>
      </c>
      <c r="GC13" s="441">
        <v>867</v>
      </c>
      <c r="GD13" s="441">
        <v>908</v>
      </c>
      <c r="GE13" s="441">
        <v>907</v>
      </c>
      <c r="GF13" s="441">
        <v>911</v>
      </c>
      <c r="GG13" s="441">
        <v>922</v>
      </c>
      <c r="GH13" s="441">
        <v>873</v>
      </c>
      <c r="GI13" s="441">
        <v>876</v>
      </c>
      <c r="GJ13" s="441">
        <v>872</v>
      </c>
      <c r="GK13" s="430">
        <v>837</v>
      </c>
    </row>
    <row r="14" spans="1:498">
      <c r="A14" s="231" t="s">
        <v>240</v>
      </c>
      <c r="B14" s="442">
        <v>4531</v>
      </c>
      <c r="C14" s="442">
        <v>4546</v>
      </c>
      <c r="D14" s="442">
        <v>4540</v>
      </c>
      <c r="E14" s="442">
        <v>4546</v>
      </c>
      <c r="F14" s="442">
        <v>4615</v>
      </c>
      <c r="G14" s="442">
        <v>4589</v>
      </c>
      <c r="H14" s="442">
        <v>4616</v>
      </c>
      <c r="I14" s="442">
        <v>4813</v>
      </c>
      <c r="J14" s="442">
        <v>4629</v>
      </c>
      <c r="K14" s="442">
        <v>4676</v>
      </c>
      <c r="L14" s="442">
        <v>4618</v>
      </c>
      <c r="M14" s="442">
        <v>4978</v>
      </c>
      <c r="N14" s="442">
        <v>4663</v>
      </c>
      <c r="O14" s="442">
        <v>4589</v>
      </c>
      <c r="P14" s="442">
        <v>4679</v>
      </c>
      <c r="Q14" s="442">
        <v>4647</v>
      </c>
      <c r="R14" s="442">
        <v>4733</v>
      </c>
      <c r="S14" s="442">
        <v>4708</v>
      </c>
      <c r="T14" s="442">
        <v>4748</v>
      </c>
      <c r="U14" s="442">
        <v>4759</v>
      </c>
      <c r="V14" s="442">
        <v>4617</v>
      </c>
      <c r="W14" s="442">
        <v>4769</v>
      </c>
      <c r="X14" s="442">
        <v>4625</v>
      </c>
      <c r="Y14" s="442">
        <v>4700</v>
      </c>
      <c r="Z14" s="442">
        <v>4713</v>
      </c>
      <c r="AA14" s="442">
        <v>4571</v>
      </c>
      <c r="AB14" s="442">
        <v>4628</v>
      </c>
      <c r="AC14" s="442">
        <v>4634</v>
      </c>
      <c r="AD14" s="442">
        <v>4628</v>
      </c>
      <c r="AE14" s="442">
        <v>4615</v>
      </c>
      <c r="AF14" s="442">
        <v>4653</v>
      </c>
      <c r="AG14" s="442">
        <v>4848</v>
      </c>
      <c r="AH14" s="442">
        <v>4686</v>
      </c>
      <c r="AI14" s="442">
        <v>4656</v>
      </c>
      <c r="AJ14" s="442">
        <v>4583</v>
      </c>
      <c r="AK14" s="442">
        <v>4628</v>
      </c>
      <c r="AL14" s="442">
        <v>4433</v>
      </c>
      <c r="AM14" s="442">
        <v>4420</v>
      </c>
      <c r="AN14" s="442">
        <v>4536</v>
      </c>
      <c r="AO14" s="442">
        <v>4581</v>
      </c>
      <c r="AP14" s="442">
        <v>4597</v>
      </c>
      <c r="AQ14" s="442">
        <v>4648</v>
      </c>
      <c r="AR14" s="442">
        <v>4689</v>
      </c>
      <c r="AS14" s="442">
        <v>4820</v>
      </c>
      <c r="AT14" s="442">
        <v>4670</v>
      </c>
      <c r="AU14" s="442">
        <v>4660</v>
      </c>
      <c r="AV14" s="442">
        <v>4711</v>
      </c>
      <c r="AW14" s="442">
        <v>4781</v>
      </c>
      <c r="AX14" s="442">
        <v>4794</v>
      </c>
      <c r="AY14" s="442">
        <v>4700</v>
      </c>
      <c r="AZ14" s="442">
        <v>4819</v>
      </c>
      <c r="BA14" s="442">
        <v>4846</v>
      </c>
      <c r="BB14" s="442">
        <v>4967</v>
      </c>
      <c r="BC14" s="442">
        <v>4984</v>
      </c>
      <c r="BD14" s="442">
        <v>5069</v>
      </c>
      <c r="BE14" s="442">
        <v>5093</v>
      </c>
      <c r="BF14" s="442">
        <v>5046</v>
      </c>
      <c r="BG14" s="442">
        <v>5075</v>
      </c>
      <c r="BH14" s="442">
        <v>5021</v>
      </c>
      <c r="BI14" s="442">
        <v>5108</v>
      </c>
      <c r="BJ14" s="442">
        <v>5143</v>
      </c>
      <c r="BK14" s="442">
        <v>4985</v>
      </c>
      <c r="BL14" s="442">
        <v>5131</v>
      </c>
      <c r="BM14" s="442">
        <v>5042</v>
      </c>
      <c r="BN14" s="442">
        <v>5300</v>
      </c>
      <c r="BO14" s="442">
        <v>5248</v>
      </c>
      <c r="BP14" s="442">
        <v>5465</v>
      </c>
      <c r="BQ14" s="442">
        <v>5445</v>
      </c>
      <c r="BR14" s="442">
        <v>5308</v>
      </c>
      <c r="BS14" s="442">
        <v>5377</v>
      </c>
      <c r="BT14" s="442">
        <v>5322</v>
      </c>
      <c r="BU14" s="442">
        <v>5322</v>
      </c>
      <c r="BV14" s="442">
        <v>5278</v>
      </c>
      <c r="BW14" s="442">
        <v>5231</v>
      </c>
      <c r="BX14" s="442">
        <v>5410</v>
      </c>
      <c r="BY14" s="442">
        <v>5374</v>
      </c>
      <c r="BZ14" s="442">
        <v>5466</v>
      </c>
      <c r="CA14" s="442">
        <v>5332</v>
      </c>
      <c r="CB14" s="442">
        <v>5457</v>
      </c>
      <c r="CC14" s="442">
        <v>5520</v>
      </c>
      <c r="CD14" s="442">
        <v>5495</v>
      </c>
      <c r="CE14" s="442">
        <v>5589</v>
      </c>
      <c r="CF14" s="442">
        <v>5570</v>
      </c>
      <c r="CG14" s="442">
        <v>5593</v>
      </c>
      <c r="CH14" s="442">
        <v>5536</v>
      </c>
      <c r="CI14" s="442">
        <v>5460</v>
      </c>
      <c r="CJ14" s="442">
        <v>5292</v>
      </c>
      <c r="CK14" s="442">
        <v>5366</v>
      </c>
      <c r="CL14" s="442">
        <v>5405</v>
      </c>
      <c r="CM14" s="442">
        <v>5304</v>
      </c>
      <c r="CN14" s="442">
        <v>5425</v>
      </c>
      <c r="CO14" s="442">
        <v>5384</v>
      </c>
      <c r="CP14" s="442">
        <v>5321</v>
      </c>
      <c r="CQ14" s="442">
        <v>5409</v>
      </c>
      <c r="CR14" s="442">
        <v>5277</v>
      </c>
      <c r="CS14" s="442">
        <v>5274</v>
      </c>
      <c r="CT14" s="442">
        <v>5250</v>
      </c>
      <c r="CU14" s="442">
        <v>5176</v>
      </c>
      <c r="CV14" s="442">
        <v>5305</v>
      </c>
      <c r="CW14" s="442">
        <v>5177</v>
      </c>
      <c r="CX14" s="442">
        <v>5318</v>
      </c>
      <c r="CY14" s="442">
        <v>5321</v>
      </c>
      <c r="CZ14" s="442">
        <v>5370</v>
      </c>
      <c r="DA14" s="442">
        <v>5334</v>
      </c>
      <c r="DB14" s="442">
        <v>5322</v>
      </c>
      <c r="DC14" s="442">
        <v>5310</v>
      </c>
      <c r="DD14" s="442">
        <v>5352</v>
      </c>
      <c r="DE14" s="442">
        <v>5303</v>
      </c>
      <c r="DF14" s="442">
        <v>5228</v>
      </c>
      <c r="DG14" s="442">
        <v>5340</v>
      </c>
      <c r="DH14" s="442">
        <v>5467</v>
      </c>
      <c r="DI14" s="442">
        <v>5593</v>
      </c>
      <c r="DJ14" s="442">
        <v>5397</v>
      </c>
      <c r="DK14" s="442">
        <v>5370</v>
      </c>
      <c r="DL14" s="442">
        <v>5295</v>
      </c>
      <c r="DM14" s="442">
        <v>5287</v>
      </c>
      <c r="DN14" s="442">
        <v>5311</v>
      </c>
      <c r="DO14" s="442">
        <v>5348</v>
      </c>
      <c r="DP14" s="442">
        <v>5453</v>
      </c>
      <c r="DQ14" s="442">
        <v>5448</v>
      </c>
      <c r="DR14" s="442">
        <v>5280</v>
      </c>
      <c r="DS14" s="442">
        <v>5461</v>
      </c>
      <c r="DT14" s="442">
        <v>5651</v>
      </c>
      <c r="DU14" s="442">
        <v>5397</v>
      </c>
      <c r="DV14" s="442">
        <v>5744</v>
      </c>
      <c r="DW14" s="442">
        <v>5484</v>
      </c>
      <c r="DX14" s="442">
        <v>5508</v>
      </c>
      <c r="DY14" s="442">
        <v>5638</v>
      </c>
      <c r="DZ14" s="442">
        <v>5546</v>
      </c>
      <c r="EA14" s="442">
        <v>5713</v>
      </c>
      <c r="EB14" s="442">
        <v>5728</v>
      </c>
      <c r="EC14" s="442">
        <v>5754</v>
      </c>
      <c r="ED14" s="442">
        <v>5131</v>
      </c>
      <c r="EE14" s="442">
        <v>5358</v>
      </c>
      <c r="EF14" s="442">
        <v>5371</v>
      </c>
      <c r="EG14" s="442">
        <v>4998</v>
      </c>
      <c r="EH14" s="442">
        <v>5275</v>
      </c>
      <c r="EI14" s="442">
        <v>4941</v>
      </c>
      <c r="EJ14" s="442">
        <v>4803</v>
      </c>
      <c r="EK14" s="442">
        <v>4885</v>
      </c>
      <c r="EL14" s="442">
        <v>4713</v>
      </c>
      <c r="EM14" s="442">
        <v>4694</v>
      </c>
      <c r="EN14" s="442">
        <v>4692</v>
      </c>
      <c r="EO14" s="442">
        <v>4591</v>
      </c>
      <c r="EP14" s="442">
        <v>4572</v>
      </c>
      <c r="EQ14" s="442">
        <v>4821</v>
      </c>
      <c r="ER14" s="442">
        <v>4770</v>
      </c>
      <c r="ES14" s="442">
        <v>4803</v>
      </c>
      <c r="ET14" s="442">
        <v>4903</v>
      </c>
      <c r="EU14" s="442">
        <v>4830</v>
      </c>
      <c r="EV14" s="442">
        <v>4997</v>
      </c>
      <c r="EW14" s="442">
        <v>4866</v>
      </c>
      <c r="EX14" s="442">
        <v>4891</v>
      </c>
      <c r="EY14" s="442">
        <v>5171</v>
      </c>
      <c r="EZ14" s="442">
        <v>5019</v>
      </c>
      <c r="FA14" s="442">
        <v>4883</v>
      </c>
      <c r="FB14" s="442">
        <v>4838</v>
      </c>
      <c r="FC14" s="442">
        <v>4988</v>
      </c>
      <c r="FD14" s="442">
        <v>5006</v>
      </c>
      <c r="FE14" s="442">
        <v>4758</v>
      </c>
      <c r="FF14" s="442">
        <v>4927</v>
      </c>
      <c r="FG14" s="442">
        <v>4796</v>
      </c>
      <c r="FH14" s="442">
        <v>4839</v>
      </c>
      <c r="FI14" s="442">
        <v>4744</v>
      </c>
      <c r="FJ14" s="442">
        <v>4793</v>
      </c>
      <c r="FK14" s="442">
        <v>4878</v>
      </c>
      <c r="FL14" s="442">
        <v>4835</v>
      </c>
      <c r="FM14" s="442">
        <v>4772</v>
      </c>
      <c r="FN14" s="442">
        <v>4564</v>
      </c>
      <c r="FO14" s="442">
        <v>4806</v>
      </c>
      <c r="FP14" s="442">
        <v>4891</v>
      </c>
      <c r="FQ14" s="442">
        <v>4537</v>
      </c>
      <c r="FR14" s="442">
        <v>4747</v>
      </c>
      <c r="FS14" s="442">
        <v>4725</v>
      </c>
      <c r="FT14" s="442">
        <v>4674</v>
      </c>
      <c r="FU14" s="442">
        <v>4739</v>
      </c>
      <c r="FV14" s="442">
        <v>4641</v>
      </c>
      <c r="FW14" s="442">
        <v>4671</v>
      </c>
      <c r="FX14" s="442">
        <v>5055</v>
      </c>
      <c r="FY14" s="442">
        <v>4520</v>
      </c>
      <c r="FZ14" s="442">
        <v>4371</v>
      </c>
      <c r="GA14" s="442">
        <v>4782</v>
      </c>
      <c r="GB14" s="442">
        <v>4347</v>
      </c>
      <c r="GC14" s="442">
        <v>4286</v>
      </c>
      <c r="GD14" s="442">
        <v>4515</v>
      </c>
      <c r="GE14" s="442">
        <v>4359</v>
      </c>
      <c r="GF14" s="442">
        <v>4478</v>
      </c>
      <c r="GG14" s="442">
        <v>4649</v>
      </c>
      <c r="GH14" s="442">
        <v>3975</v>
      </c>
      <c r="GI14" s="442">
        <v>4499</v>
      </c>
      <c r="GJ14" s="442">
        <v>4469</v>
      </c>
      <c r="GK14" s="431">
        <v>4227</v>
      </c>
    </row>
    <row r="15" spans="1:498">
      <c r="A15" s="231" t="s">
        <v>243</v>
      </c>
      <c r="B15" s="348">
        <v>545</v>
      </c>
      <c r="C15" s="348">
        <v>558</v>
      </c>
      <c r="D15" s="348">
        <v>624</v>
      </c>
      <c r="E15" s="348">
        <v>523</v>
      </c>
      <c r="F15" s="348">
        <v>605</v>
      </c>
      <c r="G15" s="348">
        <v>683</v>
      </c>
      <c r="H15" s="348">
        <v>559</v>
      </c>
      <c r="I15" s="348">
        <v>576</v>
      </c>
      <c r="J15" s="348">
        <v>626</v>
      </c>
      <c r="K15" s="348">
        <v>546</v>
      </c>
      <c r="L15" s="348">
        <v>563</v>
      </c>
      <c r="M15" s="348">
        <v>580</v>
      </c>
      <c r="N15" s="348">
        <v>487</v>
      </c>
      <c r="O15" s="348">
        <v>538</v>
      </c>
      <c r="P15" s="348">
        <v>614</v>
      </c>
      <c r="Q15" s="348">
        <v>531</v>
      </c>
      <c r="R15" s="348">
        <v>563</v>
      </c>
      <c r="S15" s="348">
        <v>629</v>
      </c>
      <c r="T15" s="348">
        <v>556</v>
      </c>
      <c r="U15" s="348">
        <v>630</v>
      </c>
      <c r="V15" s="348">
        <v>533</v>
      </c>
      <c r="W15" s="348">
        <v>513</v>
      </c>
      <c r="X15" s="348">
        <v>586</v>
      </c>
      <c r="Y15" s="348">
        <v>473</v>
      </c>
      <c r="Z15" s="348">
        <v>470</v>
      </c>
      <c r="AA15" s="348">
        <v>503</v>
      </c>
      <c r="AB15" s="348">
        <v>587</v>
      </c>
      <c r="AC15" s="348">
        <v>481</v>
      </c>
      <c r="AD15" s="348">
        <v>571</v>
      </c>
      <c r="AE15" s="348">
        <v>548</v>
      </c>
      <c r="AF15" s="348">
        <v>550</v>
      </c>
      <c r="AG15" s="348">
        <v>565</v>
      </c>
      <c r="AH15" s="348">
        <v>533</v>
      </c>
      <c r="AI15" s="348">
        <v>552</v>
      </c>
      <c r="AJ15" s="348">
        <v>522</v>
      </c>
      <c r="AK15" s="348">
        <v>511</v>
      </c>
      <c r="AL15" s="348">
        <v>492</v>
      </c>
      <c r="AM15" s="348">
        <v>504</v>
      </c>
      <c r="AN15" s="348">
        <v>556</v>
      </c>
      <c r="AO15" s="348">
        <v>443</v>
      </c>
      <c r="AP15" s="348">
        <v>553</v>
      </c>
      <c r="AQ15" s="348">
        <v>532</v>
      </c>
      <c r="AR15" s="348">
        <v>498</v>
      </c>
      <c r="AS15" s="348">
        <v>534</v>
      </c>
      <c r="AT15" s="348">
        <v>542</v>
      </c>
      <c r="AU15" s="348">
        <v>524</v>
      </c>
      <c r="AV15" s="348">
        <v>555</v>
      </c>
      <c r="AW15" s="348">
        <v>541</v>
      </c>
      <c r="AX15" s="348">
        <v>518</v>
      </c>
      <c r="AY15" s="348">
        <v>539</v>
      </c>
      <c r="AZ15" s="348">
        <v>479</v>
      </c>
      <c r="BA15" s="348">
        <v>439</v>
      </c>
      <c r="BB15" s="348">
        <v>590</v>
      </c>
      <c r="BC15" s="348">
        <v>583</v>
      </c>
      <c r="BD15" s="348">
        <v>581</v>
      </c>
      <c r="BE15" s="348">
        <v>609</v>
      </c>
      <c r="BF15" s="348">
        <v>588</v>
      </c>
      <c r="BG15" s="348">
        <v>606</v>
      </c>
      <c r="BH15" s="348">
        <v>614</v>
      </c>
      <c r="BI15" s="348">
        <v>613</v>
      </c>
      <c r="BJ15" s="348">
        <v>630</v>
      </c>
      <c r="BK15" s="348">
        <v>637</v>
      </c>
      <c r="BL15" s="348">
        <v>676</v>
      </c>
      <c r="BM15" s="348">
        <v>606</v>
      </c>
      <c r="BN15" s="348">
        <v>710</v>
      </c>
      <c r="BO15" s="348">
        <v>635</v>
      </c>
      <c r="BP15" s="348">
        <v>663</v>
      </c>
      <c r="BQ15" s="348">
        <v>669</v>
      </c>
      <c r="BR15" s="348">
        <v>648</v>
      </c>
      <c r="BS15" s="348">
        <v>640</v>
      </c>
      <c r="BT15" s="348">
        <v>663</v>
      </c>
      <c r="BU15" s="348">
        <v>574</v>
      </c>
      <c r="BV15" s="348">
        <v>596</v>
      </c>
      <c r="BW15" s="348">
        <v>603</v>
      </c>
      <c r="BX15" s="348">
        <v>630</v>
      </c>
      <c r="BY15" s="348">
        <v>537</v>
      </c>
      <c r="BZ15" s="348">
        <v>621</v>
      </c>
      <c r="CA15" s="348">
        <v>592</v>
      </c>
      <c r="CB15" s="348">
        <v>611</v>
      </c>
      <c r="CC15" s="348">
        <v>598</v>
      </c>
      <c r="CD15" s="348">
        <v>605</v>
      </c>
      <c r="CE15" s="348">
        <v>588</v>
      </c>
      <c r="CF15" s="441">
        <v>624</v>
      </c>
      <c r="CG15" s="441">
        <v>577</v>
      </c>
      <c r="CH15" s="441">
        <v>585</v>
      </c>
      <c r="CI15" s="441">
        <v>629</v>
      </c>
      <c r="CJ15" s="441">
        <v>620</v>
      </c>
      <c r="CK15" s="441">
        <v>620</v>
      </c>
      <c r="CL15" s="441">
        <v>678</v>
      </c>
      <c r="CM15" s="441">
        <v>652</v>
      </c>
      <c r="CN15" s="441">
        <v>668</v>
      </c>
      <c r="CO15" s="441">
        <v>657</v>
      </c>
      <c r="CP15" s="441">
        <v>662</v>
      </c>
      <c r="CQ15" s="441">
        <v>724</v>
      </c>
      <c r="CR15" s="441">
        <v>708</v>
      </c>
      <c r="CS15" s="441">
        <v>673</v>
      </c>
      <c r="CT15" s="441">
        <v>676</v>
      </c>
      <c r="CU15" s="441">
        <v>684</v>
      </c>
      <c r="CV15" s="441">
        <v>731</v>
      </c>
      <c r="CW15" s="441">
        <v>647</v>
      </c>
      <c r="CX15" s="441">
        <v>715</v>
      </c>
      <c r="CY15" s="441">
        <v>712</v>
      </c>
      <c r="CZ15" s="441">
        <v>697</v>
      </c>
      <c r="DA15" s="441">
        <v>688</v>
      </c>
      <c r="DB15" s="441">
        <v>680</v>
      </c>
      <c r="DC15" s="441">
        <v>685</v>
      </c>
      <c r="DD15" s="441">
        <v>663</v>
      </c>
      <c r="DE15" s="441">
        <v>642</v>
      </c>
      <c r="DF15" s="441">
        <v>646</v>
      </c>
      <c r="DG15" s="441">
        <v>648</v>
      </c>
      <c r="DH15" s="441">
        <v>710</v>
      </c>
      <c r="DI15" s="441">
        <v>610</v>
      </c>
      <c r="DJ15" s="441">
        <v>681</v>
      </c>
      <c r="DK15" s="441">
        <v>674</v>
      </c>
      <c r="DL15" s="441">
        <v>648</v>
      </c>
      <c r="DM15" s="441">
        <v>669</v>
      </c>
      <c r="DN15" s="441">
        <v>646</v>
      </c>
      <c r="DO15" s="441">
        <v>634</v>
      </c>
      <c r="DP15" s="441">
        <v>650</v>
      </c>
      <c r="DQ15" s="441">
        <v>609</v>
      </c>
      <c r="DR15" s="441">
        <v>619</v>
      </c>
      <c r="DS15" s="441">
        <v>609</v>
      </c>
      <c r="DT15" s="441">
        <v>657</v>
      </c>
      <c r="DU15" s="441">
        <v>594</v>
      </c>
      <c r="DV15" s="441">
        <v>628</v>
      </c>
      <c r="DW15" s="441">
        <v>624</v>
      </c>
      <c r="DX15" s="441">
        <v>624</v>
      </c>
      <c r="DY15" s="441">
        <v>643</v>
      </c>
      <c r="DZ15" s="441">
        <v>633</v>
      </c>
      <c r="EA15" s="441">
        <v>646</v>
      </c>
      <c r="EB15" s="441">
        <v>680</v>
      </c>
      <c r="EC15" s="441">
        <v>676</v>
      </c>
      <c r="ED15" s="441">
        <v>678</v>
      </c>
      <c r="EE15" s="441">
        <v>706</v>
      </c>
      <c r="EF15" s="441">
        <v>737</v>
      </c>
      <c r="EG15" s="441">
        <v>652</v>
      </c>
      <c r="EH15" s="441">
        <v>734</v>
      </c>
      <c r="EI15" s="441">
        <v>712</v>
      </c>
      <c r="EJ15" s="441">
        <v>705</v>
      </c>
      <c r="EK15" s="441">
        <v>731</v>
      </c>
      <c r="EL15" s="441">
        <v>692</v>
      </c>
      <c r="EM15" s="441">
        <v>709</v>
      </c>
      <c r="EN15" s="441">
        <v>711</v>
      </c>
      <c r="EO15" s="441">
        <v>670</v>
      </c>
      <c r="EP15" s="441">
        <v>680</v>
      </c>
      <c r="EQ15" s="441">
        <v>670</v>
      </c>
      <c r="ER15" s="441">
        <v>675</v>
      </c>
      <c r="ES15" s="441">
        <v>633</v>
      </c>
      <c r="ET15" s="441">
        <v>704</v>
      </c>
      <c r="EU15" s="441">
        <v>672</v>
      </c>
      <c r="EV15" s="441">
        <v>682</v>
      </c>
      <c r="EW15" s="441">
        <v>687</v>
      </c>
      <c r="EX15" s="441">
        <v>641</v>
      </c>
      <c r="EY15" s="441">
        <v>648</v>
      </c>
      <c r="EZ15" s="441">
        <v>661</v>
      </c>
      <c r="FA15" s="441">
        <v>626</v>
      </c>
      <c r="FB15" s="441">
        <v>638</v>
      </c>
      <c r="FC15" s="441">
        <v>667</v>
      </c>
      <c r="FD15" s="441">
        <v>717</v>
      </c>
      <c r="FE15" s="441">
        <v>349</v>
      </c>
      <c r="FF15" s="441">
        <v>402</v>
      </c>
      <c r="FG15" s="441">
        <v>379</v>
      </c>
      <c r="FH15" s="441">
        <v>391</v>
      </c>
      <c r="FI15" s="441">
        <v>390</v>
      </c>
      <c r="FJ15" s="441">
        <v>382</v>
      </c>
      <c r="FK15" s="441">
        <v>394</v>
      </c>
      <c r="FL15" s="441">
        <v>383</v>
      </c>
      <c r="FM15" s="441">
        <v>657</v>
      </c>
      <c r="FN15" s="441">
        <v>615</v>
      </c>
      <c r="FO15" s="441">
        <v>641</v>
      </c>
      <c r="FP15" s="441">
        <v>704</v>
      </c>
      <c r="FQ15" s="441">
        <v>619</v>
      </c>
      <c r="FR15" s="441">
        <v>699</v>
      </c>
      <c r="FS15" s="441">
        <v>708</v>
      </c>
      <c r="FT15" s="441">
        <v>721</v>
      </c>
      <c r="FU15" s="441">
        <v>723</v>
      </c>
      <c r="FV15" s="441">
        <v>727</v>
      </c>
      <c r="FW15" s="441">
        <v>726</v>
      </c>
      <c r="FX15" s="441">
        <v>704</v>
      </c>
      <c r="FY15" s="441">
        <v>710</v>
      </c>
      <c r="FZ15" s="441">
        <v>685</v>
      </c>
      <c r="GA15" s="441">
        <v>715</v>
      </c>
      <c r="GB15" s="441">
        <v>682</v>
      </c>
      <c r="GC15" s="441">
        <v>629</v>
      </c>
      <c r="GD15" s="441">
        <v>686</v>
      </c>
      <c r="GE15" s="441">
        <v>680</v>
      </c>
      <c r="GF15" s="441">
        <v>677</v>
      </c>
      <c r="GG15" s="441">
        <v>634</v>
      </c>
      <c r="GH15" s="441">
        <v>603</v>
      </c>
      <c r="GI15" s="441">
        <v>670</v>
      </c>
      <c r="GJ15" s="441">
        <v>607</v>
      </c>
      <c r="GK15" s="430">
        <v>561</v>
      </c>
    </row>
    <row r="16" spans="1:498">
      <c r="A16" s="231" t="s">
        <v>245</v>
      </c>
      <c r="B16" s="442">
        <v>429</v>
      </c>
      <c r="C16" s="442">
        <v>455</v>
      </c>
      <c r="D16" s="442">
        <v>478</v>
      </c>
      <c r="E16" s="442">
        <v>413</v>
      </c>
      <c r="F16" s="442">
        <v>495</v>
      </c>
      <c r="G16" s="442">
        <v>454</v>
      </c>
      <c r="H16" s="442">
        <v>436</v>
      </c>
      <c r="I16" s="442">
        <v>469</v>
      </c>
      <c r="J16" s="442">
        <v>467</v>
      </c>
      <c r="K16" s="442">
        <v>444</v>
      </c>
      <c r="L16" s="442">
        <v>509</v>
      </c>
      <c r="M16" s="442">
        <v>371</v>
      </c>
      <c r="N16" s="442">
        <v>452</v>
      </c>
      <c r="O16" s="442">
        <v>423</v>
      </c>
      <c r="P16" s="442">
        <v>436</v>
      </c>
      <c r="Q16" s="442">
        <v>216</v>
      </c>
      <c r="R16" s="442">
        <v>226</v>
      </c>
      <c r="S16" s="442">
        <v>195</v>
      </c>
      <c r="T16" s="442">
        <v>212</v>
      </c>
      <c r="U16" s="442">
        <v>204</v>
      </c>
      <c r="V16" s="442">
        <v>207</v>
      </c>
      <c r="W16" s="442">
        <v>239</v>
      </c>
      <c r="X16" s="442">
        <v>238</v>
      </c>
      <c r="Y16" s="442">
        <v>208</v>
      </c>
      <c r="Z16" s="442">
        <v>188</v>
      </c>
      <c r="AA16" s="442">
        <v>205</v>
      </c>
      <c r="AB16" s="442">
        <v>250</v>
      </c>
      <c r="AC16" s="442">
        <v>208</v>
      </c>
      <c r="AD16" s="442">
        <v>203</v>
      </c>
      <c r="AE16" s="442">
        <v>206</v>
      </c>
      <c r="AF16" s="442">
        <v>216</v>
      </c>
      <c r="AG16" s="442">
        <v>206</v>
      </c>
      <c r="AH16" s="442">
        <v>206</v>
      </c>
      <c r="AI16" s="442">
        <v>213</v>
      </c>
      <c r="AJ16" s="442">
        <v>208</v>
      </c>
      <c r="AK16" s="442">
        <v>190</v>
      </c>
      <c r="AL16" s="442">
        <v>180</v>
      </c>
      <c r="AM16" s="442">
        <v>197</v>
      </c>
      <c r="AN16" s="442">
        <v>209</v>
      </c>
      <c r="AO16" s="442">
        <v>217</v>
      </c>
      <c r="AP16" s="442">
        <v>218</v>
      </c>
      <c r="AQ16" s="442">
        <v>237</v>
      </c>
      <c r="AR16" s="442">
        <v>244</v>
      </c>
      <c r="AS16" s="442">
        <v>242</v>
      </c>
      <c r="AT16" s="442">
        <v>248</v>
      </c>
      <c r="AU16" s="442">
        <v>240</v>
      </c>
      <c r="AV16" s="442">
        <v>258</v>
      </c>
      <c r="AW16" s="442">
        <v>228</v>
      </c>
      <c r="AX16" s="442">
        <v>212</v>
      </c>
      <c r="AY16" s="442">
        <v>250</v>
      </c>
      <c r="AZ16" s="442">
        <v>256</v>
      </c>
      <c r="BA16" s="442">
        <v>229</v>
      </c>
      <c r="BB16" s="442">
        <v>251</v>
      </c>
      <c r="BC16" s="442">
        <v>269</v>
      </c>
      <c r="BD16" s="442">
        <v>244</v>
      </c>
      <c r="BE16" s="442">
        <v>269</v>
      </c>
      <c r="BF16" s="442">
        <v>270</v>
      </c>
      <c r="BG16" s="442">
        <v>280</v>
      </c>
      <c r="BH16" s="442">
        <v>291</v>
      </c>
      <c r="BI16" s="442">
        <v>235</v>
      </c>
      <c r="BJ16" s="442">
        <v>261</v>
      </c>
      <c r="BK16" s="442">
        <v>312</v>
      </c>
      <c r="BL16" s="442">
        <v>320</v>
      </c>
      <c r="BM16" s="442">
        <v>262</v>
      </c>
      <c r="BN16" s="442">
        <v>345</v>
      </c>
      <c r="BO16" s="442">
        <v>347</v>
      </c>
      <c r="BP16" s="442">
        <v>334</v>
      </c>
      <c r="BQ16" s="442">
        <v>362</v>
      </c>
      <c r="BR16" s="442">
        <v>346</v>
      </c>
      <c r="BS16" s="442">
        <v>350</v>
      </c>
      <c r="BT16" s="442">
        <v>378</v>
      </c>
      <c r="BU16" s="442">
        <v>310</v>
      </c>
      <c r="BV16" s="442">
        <v>327</v>
      </c>
      <c r="BW16" s="442">
        <v>327</v>
      </c>
      <c r="BX16" s="442">
        <v>352</v>
      </c>
      <c r="BY16" s="442">
        <v>349</v>
      </c>
      <c r="BZ16" s="442">
        <v>415</v>
      </c>
      <c r="CA16" s="442">
        <v>381</v>
      </c>
      <c r="CB16" s="442">
        <v>390</v>
      </c>
      <c r="CC16" s="442">
        <v>397</v>
      </c>
      <c r="CD16" s="442">
        <v>396</v>
      </c>
      <c r="CE16" s="442">
        <v>428</v>
      </c>
      <c r="CF16" s="442">
        <v>440</v>
      </c>
      <c r="CG16" s="442">
        <v>357</v>
      </c>
      <c r="CH16" s="442">
        <v>357</v>
      </c>
      <c r="CI16" s="442">
        <v>386</v>
      </c>
      <c r="CJ16" s="442">
        <v>386</v>
      </c>
      <c r="CK16" s="442">
        <v>407</v>
      </c>
      <c r="CL16" s="442">
        <v>401</v>
      </c>
      <c r="CM16" s="442">
        <v>405</v>
      </c>
      <c r="CN16" s="442">
        <v>391</v>
      </c>
      <c r="CO16" s="442">
        <v>397</v>
      </c>
      <c r="CP16" s="442">
        <v>397</v>
      </c>
      <c r="CQ16" s="442">
        <v>413</v>
      </c>
      <c r="CR16" s="442">
        <v>396</v>
      </c>
      <c r="CS16" s="442">
        <v>388</v>
      </c>
      <c r="CT16" s="442">
        <v>383</v>
      </c>
      <c r="CU16" s="442">
        <v>379</v>
      </c>
      <c r="CV16" s="442">
        <v>391</v>
      </c>
      <c r="CW16" s="442">
        <v>360</v>
      </c>
      <c r="CX16" s="442">
        <v>391</v>
      </c>
      <c r="CY16" s="442">
        <v>382</v>
      </c>
      <c r="CZ16" s="442">
        <v>378</v>
      </c>
      <c r="DA16" s="442">
        <v>353</v>
      </c>
      <c r="DB16" s="442">
        <v>344</v>
      </c>
      <c r="DC16" s="442">
        <v>347</v>
      </c>
      <c r="DD16" s="442">
        <v>357</v>
      </c>
      <c r="DE16" s="442">
        <v>324</v>
      </c>
      <c r="DF16" s="442">
        <v>369</v>
      </c>
      <c r="DG16" s="442">
        <v>393</v>
      </c>
      <c r="DH16" s="442">
        <v>402</v>
      </c>
      <c r="DI16" s="442">
        <v>370</v>
      </c>
      <c r="DJ16" s="442">
        <v>393</v>
      </c>
      <c r="DK16" s="442">
        <v>390</v>
      </c>
      <c r="DL16" s="442">
        <v>402</v>
      </c>
      <c r="DM16" s="442">
        <v>433</v>
      </c>
      <c r="DN16" s="442">
        <v>379</v>
      </c>
      <c r="DO16" s="442">
        <v>405</v>
      </c>
      <c r="DP16" s="442">
        <v>435</v>
      </c>
      <c r="DQ16" s="442">
        <v>343</v>
      </c>
      <c r="DR16" s="442">
        <v>367</v>
      </c>
      <c r="DS16" s="442">
        <v>410</v>
      </c>
      <c r="DT16" s="442">
        <v>420</v>
      </c>
      <c r="DU16" s="442">
        <v>396</v>
      </c>
      <c r="DV16" s="442">
        <v>439</v>
      </c>
      <c r="DW16" s="442">
        <v>461</v>
      </c>
      <c r="DX16" s="442">
        <v>483</v>
      </c>
      <c r="DY16" s="442">
        <v>500</v>
      </c>
      <c r="DZ16" s="442">
        <v>477</v>
      </c>
      <c r="EA16" s="442">
        <v>479</v>
      </c>
      <c r="EB16" s="442">
        <v>508</v>
      </c>
      <c r="EC16" s="442">
        <v>435</v>
      </c>
      <c r="ED16" s="442">
        <v>464</v>
      </c>
      <c r="EE16" s="442">
        <v>525</v>
      </c>
      <c r="EF16" s="442">
        <v>547</v>
      </c>
      <c r="EG16" s="442">
        <v>528</v>
      </c>
      <c r="EH16" s="442">
        <v>556</v>
      </c>
      <c r="EI16" s="442">
        <v>524</v>
      </c>
      <c r="EJ16" s="442">
        <v>559</v>
      </c>
      <c r="EK16" s="442">
        <v>523</v>
      </c>
      <c r="EL16" s="442">
        <v>547</v>
      </c>
      <c r="EM16" s="442">
        <v>584</v>
      </c>
      <c r="EN16" s="442">
        <v>567</v>
      </c>
      <c r="EO16" s="442">
        <v>467</v>
      </c>
      <c r="EP16" s="442">
        <v>504</v>
      </c>
      <c r="EQ16" s="442">
        <v>521</v>
      </c>
      <c r="ER16" s="442">
        <v>559</v>
      </c>
      <c r="ES16" s="442">
        <v>565</v>
      </c>
      <c r="ET16" s="442">
        <v>577</v>
      </c>
      <c r="EU16" s="442">
        <v>508</v>
      </c>
      <c r="EV16" s="442">
        <v>577</v>
      </c>
      <c r="EW16" s="442">
        <v>573</v>
      </c>
      <c r="EX16" s="442">
        <v>550</v>
      </c>
      <c r="EY16" s="442">
        <v>573</v>
      </c>
      <c r="EZ16" s="442">
        <v>586</v>
      </c>
      <c r="FA16" s="442">
        <v>526</v>
      </c>
      <c r="FB16" s="442">
        <v>539</v>
      </c>
      <c r="FC16" s="442">
        <v>535</v>
      </c>
      <c r="FD16" s="442">
        <v>607</v>
      </c>
      <c r="FE16" s="442">
        <v>574</v>
      </c>
      <c r="FF16" s="442">
        <v>625</v>
      </c>
      <c r="FG16" s="442">
        <v>628</v>
      </c>
      <c r="FH16" s="442">
        <v>702</v>
      </c>
      <c r="FI16" s="442">
        <v>676</v>
      </c>
      <c r="FJ16" s="442">
        <v>705</v>
      </c>
      <c r="FK16" s="442">
        <v>692</v>
      </c>
      <c r="FL16" s="442">
        <v>736</v>
      </c>
      <c r="FM16" s="442">
        <v>602</v>
      </c>
      <c r="FN16" s="442">
        <v>552</v>
      </c>
      <c r="FO16" s="442">
        <v>569</v>
      </c>
      <c r="FP16" s="442">
        <v>595</v>
      </c>
      <c r="FQ16" s="442">
        <v>527</v>
      </c>
      <c r="FR16" s="442">
        <v>556</v>
      </c>
      <c r="FS16" s="442">
        <v>569</v>
      </c>
      <c r="FT16" s="442">
        <v>587</v>
      </c>
      <c r="FU16" s="442">
        <v>541</v>
      </c>
      <c r="FV16" s="442">
        <v>515</v>
      </c>
      <c r="FW16" s="442">
        <v>535</v>
      </c>
      <c r="FX16" s="442">
        <v>603</v>
      </c>
      <c r="FY16" s="442">
        <v>477</v>
      </c>
      <c r="FZ16" s="442">
        <v>458</v>
      </c>
      <c r="GA16" s="442">
        <v>516</v>
      </c>
      <c r="GB16" s="442">
        <v>534</v>
      </c>
      <c r="GC16" s="442">
        <v>488</v>
      </c>
      <c r="GD16" s="442">
        <v>517</v>
      </c>
      <c r="GE16" s="442">
        <v>418</v>
      </c>
      <c r="GF16" s="442">
        <v>472</v>
      </c>
      <c r="GG16" s="442">
        <v>473</v>
      </c>
      <c r="GH16" s="442">
        <v>440</v>
      </c>
      <c r="GI16" s="442">
        <v>498</v>
      </c>
      <c r="GJ16" s="442">
        <v>542</v>
      </c>
      <c r="GK16" s="431">
        <v>448</v>
      </c>
    </row>
    <row r="17" spans="1:193">
      <c r="A17" s="231" t="s">
        <v>242</v>
      </c>
      <c r="B17" s="348">
        <v>588</v>
      </c>
      <c r="C17" s="348">
        <v>558</v>
      </c>
      <c r="D17" s="348">
        <v>618</v>
      </c>
      <c r="E17" s="348">
        <v>576</v>
      </c>
      <c r="F17" s="348">
        <v>634</v>
      </c>
      <c r="G17" s="348">
        <v>592</v>
      </c>
      <c r="H17" s="348">
        <v>611</v>
      </c>
      <c r="I17" s="348">
        <v>660</v>
      </c>
      <c r="J17" s="348">
        <v>610</v>
      </c>
      <c r="K17" s="348">
        <v>718</v>
      </c>
      <c r="L17" s="348">
        <v>649</v>
      </c>
      <c r="M17" s="348">
        <v>779</v>
      </c>
      <c r="N17" s="348">
        <v>773</v>
      </c>
      <c r="O17" s="348">
        <v>596</v>
      </c>
      <c r="P17" s="348">
        <v>695</v>
      </c>
      <c r="Q17" s="348">
        <v>677</v>
      </c>
      <c r="R17" s="348">
        <v>726</v>
      </c>
      <c r="S17" s="348">
        <v>744</v>
      </c>
      <c r="T17" s="348">
        <v>761</v>
      </c>
      <c r="U17" s="348">
        <v>759</v>
      </c>
      <c r="V17" s="348">
        <v>699</v>
      </c>
      <c r="W17" s="348">
        <v>741</v>
      </c>
      <c r="X17" s="348">
        <v>740</v>
      </c>
      <c r="Y17" s="348">
        <v>724</v>
      </c>
      <c r="Z17" s="348">
        <v>726</v>
      </c>
      <c r="AA17" s="348">
        <v>669</v>
      </c>
      <c r="AB17" s="348">
        <v>713</v>
      </c>
      <c r="AC17" s="348">
        <v>688</v>
      </c>
      <c r="AD17" s="348">
        <v>843</v>
      </c>
      <c r="AE17" s="348">
        <v>639</v>
      </c>
      <c r="AF17" s="348">
        <v>644</v>
      </c>
      <c r="AG17" s="348">
        <v>631</v>
      </c>
      <c r="AH17" s="348">
        <v>658</v>
      </c>
      <c r="AI17" s="348">
        <v>743</v>
      </c>
      <c r="AJ17" s="348">
        <v>764</v>
      </c>
      <c r="AK17" s="348">
        <v>690</v>
      </c>
      <c r="AL17" s="348">
        <v>686</v>
      </c>
      <c r="AM17" s="348">
        <v>690</v>
      </c>
      <c r="AN17" s="348">
        <v>721</v>
      </c>
      <c r="AO17" s="348">
        <v>690</v>
      </c>
      <c r="AP17" s="348">
        <v>697</v>
      </c>
      <c r="AQ17" s="348">
        <v>903</v>
      </c>
      <c r="AR17" s="348">
        <v>928</v>
      </c>
      <c r="AS17" s="348">
        <v>971</v>
      </c>
      <c r="AT17" s="348">
        <v>932</v>
      </c>
      <c r="AU17" s="348">
        <v>730</v>
      </c>
      <c r="AV17" s="348">
        <v>737</v>
      </c>
      <c r="AW17" s="348">
        <v>660</v>
      </c>
      <c r="AX17" s="348">
        <v>823</v>
      </c>
      <c r="AY17" s="348">
        <v>859</v>
      </c>
      <c r="AZ17" s="348">
        <v>885</v>
      </c>
      <c r="BA17" s="348">
        <v>929</v>
      </c>
      <c r="BB17" s="348">
        <v>979</v>
      </c>
      <c r="BC17" s="348">
        <v>998</v>
      </c>
      <c r="BD17" s="348">
        <v>983</v>
      </c>
      <c r="BE17" s="348">
        <v>859</v>
      </c>
      <c r="BF17" s="348">
        <v>955</v>
      </c>
      <c r="BG17" s="348">
        <v>904</v>
      </c>
      <c r="BH17" s="348">
        <v>938</v>
      </c>
      <c r="BI17" s="348">
        <v>925</v>
      </c>
      <c r="BJ17" s="348">
        <v>918</v>
      </c>
      <c r="BK17" s="348">
        <v>920</v>
      </c>
      <c r="BL17" s="348">
        <v>951</v>
      </c>
      <c r="BM17" s="348">
        <v>906</v>
      </c>
      <c r="BN17" s="348">
        <v>960</v>
      </c>
      <c r="BO17" s="348">
        <v>928</v>
      </c>
      <c r="BP17" s="348">
        <v>965</v>
      </c>
      <c r="BQ17" s="348">
        <v>977</v>
      </c>
      <c r="BR17" s="348">
        <v>949</v>
      </c>
      <c r="BS17" s="348">
        <v>1006</v>
      </c>
      <c r="BT17" s="348">
        <v>1053</v>
      </c>
      <c r="BU17" s="348">
        <v>953</v>
      </c>
      <c r="BV17" s="348">
        <v>895</v>
      </c>
      <c r="BW17" s="348">
        <v>911</v>
      </c>
      <c r="BX17" s="348">
        <v>1019</v>
      </c>
      <c r="BY17" s="348">
        <v>1031</v>
      </c>
      <c r="BZ17" s="348">
        <v>1002</v>
      </c>
      <c r="CA17" s="348">
        <v>1031</v>
      </c>
      <c r="CB17" s="348">
        <v>1057</v>
      </c>
      <c r="CC17" s="348">
        <v>1093</v>
      </c>
      <c r="CD17" s="348">
        <v>1091</v>
      </c>
      <c r="CE17" s="348">
        <v>1140</v>
      </c>
      <c r="CF17" s="441">
        <v>1121</v>
      </c>
      <c r="CG17" s="441">
        <v>1088</v>
      </c>
      <c r="CH17" s="441">
        <v>1106</v>
      </c>
      <c r="CI17" s="441">
        <v>1100</v>
      </c>
      <c r="CJ17" s="441">
        <v>1143</v>
      </c>
      <c r="CK17" s="441">
        <v>1112</v>
      </c>
      <c r="CL17" s="441">
        <v>1089</v>
      </c>
      <c r="CM17" s="441">
        <v>1265</v>
      </c>
      <c r="CN17" s="441">
        <v>1133</v>
      </c>
      <c r="CO17" s="441">
        <v>1107</v>
      </c>
      <c r="CP17" s="441">
        <v>1123</v>
      </c>
      <c r="CQ17" s="441">
        <v>1117</v>
      </c>
      <c r="CR17" s="441">
        <v>1094</v>
      </c>
      <c r="CS17" s="441">
        <v>1066</v>
      </c>
      <c r="CT17" s="441">
        <v>1018</v>
      </c>
      <c r="CU17" s="441">
        <v>846</v>
      </c>
      <c r="CV17" s="441">
        <v>832</v>
      </c>
      <c r="CW17" s="441">
        <v>840</v>
      </c>
      <c r="CX17" s="441">
        <v>998</v>
      </c>
      <c r="CY17" s="441">
        <v>836</v>
      </c>
      <c r="CZ17" s="441">
        <v>775</v>
      </c>
      <c r="DA17" s="441">
        <v>780</v>
      </c>
      <c r="DB17" s="441">
        <v>762</v>
      </c>
      <c r="DC17" s="441">
        <v>762</v>
      </c>
      <c r="DD17" s="441">
        <v>777</v>
      </c>
      <c r="DE17" s="441">
        <v>673</v>
      </c>
      <c r="DF17" s="441">
        <v>661</v>
      </c>
      <c r="DG17" s="441">
        <v>644</v>
      </c>
      <c r="DH17" s="441">
        <v>719</v>
      </c>
      <c r="DI17" s="441">
        <v>671</v>
      </c>
      <c r="DJ17" s="441">
        <v>699</v>
      </c>
      <c r="DK17" s="441">
        <v>703</v>
      </c>
      <c r="DL17" s="441">
        <v>737</v>
      </c>
      <c r="DM17" s="441">
        <v>745</v>
      </c>
      <c r="DN17" s="441">
        <v>733</v>
      </c>
      <c r="DO17" s="441">
        <v>767</v>
      </c>
      <c r="DP17" s="441">
        <v>786</v>
      </c>
      <c r="DQ17" s="441">
        <v>799</v>
      </c>
      <c r="DR17" s="441">
        <v>729</v>
      </c>
      <c r="DS17" s="441">
        <v>667</v>
      </c>
      <c r="DT17" s="441">
        <v>750</v>
      </c>
      <c r="DU17" s="441">
        <v>707</v>
      </c>
      <c r="DV17" s="441">
        <v>733</v>
      </c>
      <c r="DW17" s="441">
        <v>715</v>
      </c>
      <c r="DX17" s="441">
        <v>715</v>
      </c>
      <c r="DY17" s="441">
        <v>741</v>
      </c>
      <c r="DZ17" s="441">
        <v>741</v>
      </c>
      <c r="EA17" s="441">
        <v>754</v>
      </c>
      <c r="EB17" s="441">
        <v>727</v>
      </c>
      <c r="EC17" s="441">
        <v>729</v>
      </c>
      <c r="ED17" s="441">
        <v>751</v>
      </c>
      <c r="EE17" s="441">
        <v>749</v>
      </c>
      <c r="EF17" s="441">
        <v>811</v>
      </c>
      <c r="EG17" s="441">
        <v>718</v>
      </c>
      <c r="EH17" s="441">
        <v>778</v>
      </c>
      <c r="EI17" s="441">
        <v>731</v>
      </c>
      <c r="EJ17" s="441">
        <v>756</v>
      </c>
      <c r="EK17" s="441">
        <v>762</v>
      </c>
      <c r="EL17" s="441">
        <v>734</v>
      </c>
      <c r="EM17" s="441">
        <v>791</v>
      </c>
      <c r="EN17" s="441">
        <v>767</v>
      </c>
      <c r="EO17" s="441">
        <v>742</v>
      </c>
      <c r="EP17" s="441">
        <v>798</v>
      </c>
      <c r="EQ17" s="441">
        <v>747</v>
      </c>
      <c r="ER17" s="441">
        <v>841</v>
      </c>
      <c r="ES17" s="441">
        <v>816</v>
      </c>
      <c r="ET17" s="441">
        <v>837</v>
      </c>
      <c r="EU17" s="441">
        <v>765</v>
      </c>
      <c r="EV17" s="441">
        <v>768</v>
      </c>
      <c r="EW17" s="441">
        <v>753</v>
      </c>
      <c r="EX17" s="441">
        <v>670</v>
      </c>
      <c r="EY17" s="441">
        <v>703</v>
      </c>
      <c r="EZ17" s="441">
        <v>692</v>
      </c>
      <c r="FA17" s="441">
        <v>648</v>
      </c>
      <c r="FB17" s="441">
        <v>568</v>
      </c>
      <c r="FC17" s="441">
        <v>553</v>
      </c>
      <c r="FD17" s="441">
        <v>621</v>
      </c>
      <c r="FE17" s="441">
        <v>609</v>
      </c>
      <c r="FF17" s="441">
        <v>644</v>
      </c>
      <c r="FG17" s="441">
        <v>531</v>
      </c>
      <c r="FH17" s="441">
        <v>645</v>
      </c>
      <c r="FI17" s="441">
        <v>626</v>
      </c>
      <c r="FJ17" s="441">
        <v>677</v>
      </c>
      <c r="FK17" s="441">
        <v>695</v>
      </c>
      <c r="FL17" s="441">
        <v>662</v>
      </c>
      <c r="FM17" s="441">
        <v>633</v>
      </c>
      <c r="FN17" s="441">
        <v>652</v>
      </c>
      <c r="FO17" s="441">
        <v>618</v>
      </c>
      <c r="FP17" s="441">
        <v>665</v>
      </c>
      <c r="FQ17" s="441">
        <v>617</v>
      </c>
      <c r="FR17" s="441">
        <v>625</v>
      </c>
      <c r="FS17" s="441">
        <v>611</v>
      </c>
      <c r="FT17" s="441">
        <v>494</v>
      </c>
      <c r="FU17" s="441">
        <v>485</v>
      </c>
      <c r="FV17" s="441">
        <v>464</v>
      </c>
      <c r="FW17" s="441">
        <v>471</v>
      </c>
      <c r="FX17" s="441">
        <v>474</v>
      </c>
      <c r="FY17" s="441">
        <v>427</v>
      </c>
      <c r="FZ17" s="441">
        <v>424</v>
      </c>
      <c r="GA17" s="441">
        <v>443</v>
      </c>
      <c r="GB17" s="441">
        <v>476</v>
      </c>
      <c r="GC17" s="441">
        <v>438</v>
      </c>
      <c r="GD17" s="441">
        <v>436</v>
      </c>
      <c r="GE17" s="441">
        <v>429</v>
      </c>
      <c r="GF17" s="441">
        <v>404</v>
      </c>
      <c r="GG17" s="441">
        <v>400</v>
      </c>
      <c r="GH17" s="441">
        <v>376</v>
      </c>
      <c r="GI17" s="441">
        <v>365</v>
      </c>
      <c r="GJ17" s="441">
        <v>356</v>
      </c>
      <c r="GK17" s="430">
        <v>347</v>
      </c>
    </row>
    <row r="18" spans="1:193">
      <c r="A18" s="231" t="s">
        <v>15</v>
      </c>
      <c r="B18" s="442">
        <v>4791</v>
      </c>
      <c r="C18" s="442">
        <v>4828</v>
      </c>
      <c r="D18" s="442">
        <v>5115</v>
      </c>
      <c r="E18" s="442">
        <v>5068</v>
      </c>
      <c r="F18" s="442">
        <v>5445</v>
      </c>
      <c r="G18" s="442">
        <v>5089</v>
      </c>
      <c r="H18" s="442">
        <v>5572</v>
      </c>
      <c r="I18" s="442">
        <v>5383</v>
      </c>
      <c r="J18" s="442">
        <v>4998</v>
      </c>
      <c r="K18" s="442">
        <v>5008</v>
      </c>
      <c r="L18" s="442">
        <v>4919</v>
      </c>
      <c r="M18" s="442">
        <v>4729</v>
      </c>
      <c r="N18" s="442">
        <v>5094</v>
      </c>
      <c r="O18" s="442">
        <v>4205</v>
      </c>
      <c r="P18" s="442">
        <v>4756</v>
      </c>
      <c r="Q18" s="442">
        <v>4901</v>
      </c>
      <c r="R18" s="442">
        <v>4734</v>
      </c>
      <c r="S18" s="442">
        <v>4742</v>
      </c>
      <c r="T18" s="442">
        <v>5532</v>
      </c>
      <c r="U18" s="442">
        <v>4547</v>
      </c>
      <c r="V18" s="442">
        <v>4909</v>
      </c>
      <c r="W18" s="442">
        <v>4755</v>
      </c>
      <c r="X18" s="442">
        <v>4705</v>
      </c>
      <c r="Y18" s="442">
        <v>5064</v>
      </c>
      <c r="Z18" s="442">
        <v>5068</v>
      </c>
      <c r="AA18" s="442">
        <v>4986</v>
      </c>
      <c r="AB18" s="442">
        <v>5310</v>
      </c>
      <c r="AC18" s="442">
        <v>5093</v>
      </c>
      <c r="AD18" s="442">
        <v>5144</v>
      </c>
      <c r="AE18" s="442">
        <v>5376</v>
      </c>
      <c r="AF18" s="442">
        <v>5673</v>
      </c>
      <c r="AG18" s="442">
        <v>5500</v>
      </c>
      <c r="AH18" s="442">
        <v>5469</v>
      </c>
      <c r="AI18" s="442">
        <v>5452</v>
      </c>
      <c r="AJ18" s="442">
        <v>5244</v>
      </c>
      <c r="AK18" s="442">
        <v>5623</v>
      </c>
      <c r="AL18" s="442">
        <v>5256</v>
      </c>
      <c r="AM18" s="442">
        <v>5214</v>
      </c>
      <c r="AN18" s="442">
        <v>5248</v>
      </c>
      <c r="AO18" s="442">
        <v>5025</v>
      </c>
      <c r="AP18" s="442">
        <v>5080</v>
      </c>
      <c r="AQ18" s="442">
        <v>5569</v>
      </c>
      <c r="AR18" s="442">
        <v>5258</v>
      </c>
      <c r="AS18" s="442">
        <v>5287</v>
      </c>
      <c r="AT18" s="442">
        <v>5203</v>
      </c>
      <c r="AU18" s="442">
        <v>5084</v>
      </c>
      <c r="AV18" s="442">
        <v>5547</v>
      </c>
      <c r="AW18" s="442">
        <v>5024</v>
      </c>
      <c r="AX18" s="442">
        <v>4973</v>
      </c>
      <c r="AY18" s="442">
        <v>4818</v>
      </c>
      <c r="AZ18" s="442">
        <v>5010</v>
      </c>
      <c r="BA18" s="442">
        <v>4829</v>
      </c>
      <c r="BB18" s="442">
        <v>5053</v>
      </c>
      <c r="BC18" s="442">
        <v>5313</v>
      </c>
      <c r="BD18" s="442">
        <v>4971</v>
      </c>
      <c r="BE18" s="442">
        <v>4970</v>
      </c>
      <c r="BF18" s="442">
        <v>4939</v>
      </c>
      <c r="BG18" s="442">
        <v>4953</v>
      </c>
      <c r="BH18" s="442">
        <v>4986</v>
      </c>
      <c r="BI18" s="442">
        <v>5055</v>
      </c>
      <c r="BJ18" s="442">
        <v>4969</v>
      </c>
      <c r="BK18" s="442">
        <v>4851</v>
      </c>
      <c r="BL18" s="442">
        <v>5166</v>
      </c>
      <c r="BM18" s="442">
        <v>5050</v>
      </c>
      <c r="BN18" s="442">
        <v>5354</v>
      </c>
      <c r="BO18" s="442">
        <v>5692</v>
      </c>
      <c r="BP18" s="442">
        <v>5431</v>
      </c>
      <c r="BQ18" s="442">
        <v>5713</v>
      </c>
      <c r="BR18" s="442">
        <v>5392</v>
      </c>
      <c r="BS18" s="442">
        <v>5384</v>
      </c>
      <c r="BT18" s="442">
        <v>5366</v>
      </c>
      <c r="BU18" s="442">
        <v>5476</v>
      </c>
      <c r="BV18" s="442">
        <v>5364</v>
      </c>
      <c r="BW18" s="442">
        <v>5295</v>
      </c>
      <c r="BX18" s="442">
        <v>5729</v>
      </c>
      <c r="BY18" s="442">
        <v>5462</v>
      </c>
      <c r="BZ18" s="442">
        <v>5728</v>
      </c>
      <c r="CA18" s="442">
        <v>6021</v>
      </c>
      <c r="CB18" s="442">
        <v>6127</v>
      </c>
      <c r="CC18" s="442">
        <v>5726</v>
      </c>
      <c r="CD18" s="442">
        <v>5631</v>
      </c>
      <c r="CE18" s="442">
        <v>5869</v>
      </c>
      <c r="CF18" s="442">
        <v>6840</v>
      </c>
      <c r="CG18" s="442">
        <v>5975</v>
      </c>
      <c r="CH18" s="442">
        <v>5840</v>
      </c>
      <c r="CI18" s="442">
        <v>5859</v>
      </c>
      <c r="CJ18" s="442">
        <v>5739</v>
      </c>
      <c r="CK18" s="442">
        <v>5960</v>
      </c>
      <c r="CL18" s="442">
        <v>6404</v>
      </c>
      <c r="CM18" s="442">
        <v>6060</v>
      </c>
      <c r="CN18" s="442">
        <v>6097</v>
      </c>
      <c r="CO18" s="442">
        <v>6016</v>
      </c>
      <c r="CP18" s="442">
        <v>5770</v>
      </c>
      <c r="CQ18" s="442">
        <v>6146</v>
      </c>
      <c r="CR18" s="442">
        <v>5951</v>
      </c>
      <c r="CS18" s="442">
        <v>5812</v>
      </c>
      <c r="CT18" s="442">
        <v>6114</v>
      </c>
      <c r="CU18" s="442">
        <v>5835</v>
      </c>
      <c r="CV18" s="442">
        <v>6435</v>
      </c>
      <c r="CW18" s="442">
        <v>6625</v>
      </c>
      <c r="CX18" s="442">
        <v>6592</v>
      </c>
      <c r="CY18" s="442">
        <v>6492</v>
      </c>
      <c r="CZ18" s="442">
        <v>6794</v>
      </c>
      <c r="DA18" s="442">
        <v>6644</v>
      </c>
      <c r="DB18" s="442">
        <v>6558</v>
      </c>
      <c r="DC18" s="442">
        <v>6986</v>
      </c>
      <c r="DD18" s="442">
        <v>6412</v>
      </c>
      <c r="DE18" s="442">
        <v>6516</v>
      </c>
      <c r="DF18" s="442">
        <v>6469</v>
      </c>
      <c r="DG18" s="442">
        <v>6500</v>
      </c>
      <c r="DH18" s="442">
        <v>6836</v>
      </c>
      <c r="DI18" s="442">
        <v>7214</v>
      </c>
      <c r="DJ18" s="442">
        <v>6948</v>
      </c>
      <c r="DK18" s="442">
        <v>7111</v>
      </c>
      <c r="DL18" s="442">
        <v>7139</v>
      </c>
      <c r="DM18" s="442">
        <v>7191</v>
      </c>
      <c r="DN18" s="442">
        <v>7229</v>
      </c>
      <c r="DO18" s="442">
        <v>7173</v>
      </c>
      <c r="DP18" s="442">
        <v>7170</v>
      </c>
      <c r="DQ18" s="442">
        <v>7385</v>
      </c>
      <c r="DR18" s="442">
        <v>7321</v>
      </c>
      <c r="DS18" s="442">
        <v>7162</v>
      </c>
      <c r="DT18" s="442">
        <v>7834</v>
      </c>
      <c r="DU18" s="442">
        <v>7896</v>
      </c>
      <c r="DV18" s="442">
        <v>8089</v>
      </c>
      <c r="DW18" s="442">
        <v>7844</v>
      </c>
      <c r="DX18" s="442">
        <v>8218</v>
      </c>
      <c r="DY18" s="442">
        <v>8605</v>
      </c>
      <c r="DZ18" s="442">
        <v>8738</v>
      </c>
      <c r="EA18" s="442">
        <v>8369</v>
      </c>
      <c r="EB18" s="442">
        <v>8668</v>
      </c>
      <c r="EC18" s="442">
        <v>8696</v>
      </c>
      <c r="ED18" s="442">
        <v>8614</v>
      </c>
      <c r="EE18" s="442">
        <v>8660</v>
      </c>
      <c r="EF18" s="442">
        <v>8726</v>
      </c>
      <c r="EG18" s="442">
        <v>8621</v>
      </c>
      <c r="EH18" s="442">
        <v>9191</v>
      </c>
      <c r="EI18" s="442">
        <v>8984</v>
      </c>
      <c r="EJ18" s="442">
        <v>9118</v>
      </c>
      <c r="EK18" s="442">
        <v>9206</v>
      </c>
      <c r="EL18" s="442">
        <v>8921</v>
      </c>
      <c r="EM18" s="442">
        <v>9369</v>
      </c>
      <c r="EN18" s="442">
        <v>9205</v>
      </c>
      <c r="EO18" s="442">
        <v>8709</v>
      </c>
      <c r="EP18" s="442">
        <v>9486</v>
      </c>
      <c r="EQ18" s="442">
        <v>8747</v>
      </c>
      <c r="ER18" s="442">
        <v>9192</v>
      </c>
      <c r="ES18" s="442">
        <v>9093</v>
      </c>
      <c r="ET18" s="442">
        <v>8998</v>
      </c>
      <c r="EU18" s="442">
        <v>8769</v>
      </c>
      <c r="EV18" s="442">
        <v>8756</v>
      </c>
      <c r="EW18" s="442">
        <v>8602</v>
      </c>
      <c r="EX18" s="442">
        <v>8123</v>
      </c>
      <c r="EY18" s="442">
        <v>8515</v>
      </c>
      <c r="EZ18" s="442">
        <v>8888</v>
      </c>
      <c r="FA18" s="442">
        <v>7899</v>
      </c>
      <c r="FB18" s="442">
        <v>7751</v>
      </c>
      <c r="FC18" s="442">
        <v>7516</v>
      </c>
      <c r="FD18" s="442">
        <v>7690</v>
      </c>
      <c r="FE18" s="442">
        <v>7419</v>
      </c>
      <c r="FF18" s="442">
        <v>7827</v>
      </c>
      <c r="FG18" s="442">
        <v>7598</v>
      </c>
      <c r="FH18" s="442">
        <v>7916</v>
      </c>
      <c r="FI18" s="442">
        <v>7616</v>
      </c>
      <c r="FJ18" s="442">
        <v>7555</v>
      </c>
      <c r="FK18" s="442">
        <v>7792</v>
      </c>
      <c r="FL18" s="442">
        <v>7559</v>
      </c>
      <c r="FM18" s="442">
        <v>7588</v>
      </c>
      <c r="FN18" s="442">
        <v>7408</v>
      </c>
      <c r="FO18" s="442">
        <v>7203</v>
      </c>
      <c r="FP18" s="442">
        <v>7741</v>
      </c>
      <c r="FQ18" s="442">
        <v>7702</v>
      </c>
      <c r="FR18" s="442">
        <v>7871</v>
      </c>
      <c r="FS18" s="442">
        <v>7907</v>
      </c>
      <c r="FT18" s="442">
        <v>8055</v>
      </c>
      <c r="FU18" s="442">
        <v>8206</v>
      </c>
      <c r="FV18" s="442">
        <v>7743</v>
      </c>
      <c r="FW18" s="442">
        <v>7752</v>
      </c>
      <c r="FX18" s="442">
        <v>7816</v>
      </c>
      <c r="FY18" s="442">
        <v>7796</v>
      </c>
      <c r="FZ18" s="442">
        <v>7828</v>
      </c>
      <c r="GA18" s="442">
        <v>8026</v>
      </c>
      <c r="GB18" s="442">
        <v>8127</v>
      </c>
      <c r="GC18" s="442">
        <v>7942</v>
      </c>
      <c r="GD18" s="442">
        <v>8397</v>
      </c>
      <c r="GE18" s="442">
        <v>8322</v>
      </c>
      <c r="GF18" s="442">
        <v>8004</v>
      </c>
      <c r="GG18" s="442">
        <v>8346</v>
      </c>
      <c r="GH18" s="442">
        <v>7960</v>
      </c>
      <c r="GI18" s="442">
        <v>8086</v>
      </c>
      <c r="GJ18" s="442">
        <v>8192</v>
      </c>
      <c r="GK18" s="431">
        <v>7963</v>
      </c>
    </row>
    <row r="19" spans="1:193">
      <c r="A19" s="231" t="s">
        <v>345</v>
      </c>
      <c r="B19" s="348">
        <v>1699</v>
      </c>
      <c r="C19" s="348">
        <v>1390</v>
      </c>
      <c r="D19" s="348">
        <v>1423</v>
      </c>
      <c r="E19" s="348">
        <v>1363</v>
      </c>
      <c r="F19" s="348">
        <v>1682</v>
      </c>
      <c r="G19" s="348">
        <v>1507</v>
      </c>
      <c r="H19" s="348">
        <v>1573</v>
      </c>
      <c r="I19" s="348">
        <v>1536</v>
      </c>
      <c r="J19" s="348">
        <v>1476</v>
      </c>
      <c r="K19" s="348">
        <v>1541</v>
      </c>
      <c r="L19" s="348">
        <v>1491</v>
      </c>
      <c r="M19" s="348">
        <v>1498</v>
      </c>
      <c r="N19" s="348">
        <v>1173</v>
      </c>
      <c r="O19" s="348">
        <v>1249</v>
      </c>
      <c r="P19" s="348">
        <v>1152</v>
      </c>
      <c r="Q19" s="348">
        <v>1327</v>
      </c>
      <c r="R19" s="348">
        <v>1239</v>
      </c>
      <c r="S19" s="348">
        <v>1119</v>
      </c>
      <c r="T19" s="348">
        <v>1209</v>
      </c>
      <c r="U19" s="348">
        <v>1209</v>
      </c>
      <c r="V19" s="348">
        <v>1387</v>
      </c>
      <c r="W19" s="348">
        <v>1202</v>
      </c>
      <c r="X19" s="348">
        <v>1201</v>
      </c>
      <c r="Y19" s="348">
        <v>1211</v>
      </c>
      <c r="Z19" s="348">
        <v>1118</v>
      </c>
      <c r="AA19" s="348">
        <v>1154</v>
      </c>
      <c r="AB19" s="348">
        <v>1098</v>
      </c>
      <c r="AC19" s="348">
        <v>1122</v>
      </c>
      <c r="AD19" s="348">
        <v>1035</v>
      </c>
      <c r="AE19" s="348">
        <v>1073</v>
      </c>
      <c r="AF19" s="348">
        <v>1161</v>
      </c>
      <c r="AG19" s="348">
        <v>1076</v>
      </c>
      <c r="AH19" s="348">
        <v>1062</v>
      </c>
      <c r="AI19" s="348">
        <v>1086</v>
      </c>
      <c r="AJ19" s="348">
        <v>1098</v>
      </c>
      <c r="AK19" s="348">
        <v>1173</v>
      </c>
      <c r="AL19" s="348">
        <v>1113</v>
      </c>
      <c r="AM19" s="348">
        <v>1139</v>
      </c>
      <c r="AN19" s="348">
        <v>1081</v>
      </c>
      <c r="AO19" s="348">
        <v>1015</v>
      </c>
      <c r="AP19" s="348">
        <v>1067</v>
      </c>
      <c r="AQ19" s="348">
        <v>980</v>
      </c>
      <c r="AR19" s="348">
        <v>1097</v>
      </c>
      <c r="AS19" s="348">
        <v>994</v>
      </c>
      <c r="AT19" s="348">
        <v>998</v>
      </c>
      <c r="AU19" s="348">
        <v>987</v>
      </c>
      <c r="AV19" s="348">
        <v>1032</v>
      </c>
      <c r="AW19" s="348">
        <v>1153</v>
      </c>
      <c r="AX19" s="348">
        <v>1006</v>
      </c>
      <c r="AY19" s="348">
        <v>1041</v>
      </c>
      <c r="AZ19" s="348">
        <v>1121</v>
      </c>
      <c r="BA19" s="348">
        <v>1084</v>
      </c>
      <c r="BB19" s="348">
        <v>1092</v>
      </c>
      <c r="BC19" s="348">
        <v>1212</v>
      </c>
      <c r="BD19" s="348">
        <v>1257</v>
      </c>
      <c r="BE19" s="348">
        <v>1197</v>
      </c>
      <c r="BF19" s="348">
        <v>1161</v>
      </c>
      <c r="BG19" s="348">
        <v>1188</v>
      </c>
      <c r="BH19" s="348">
        <v>1204</v>
      </c>
      <c r="BI19" s="348">
        <v>1234</v>
      </c>
      <c r="BJ19" s="348">
        <v>1189</v>
      </c>
      <c r="BK19" s="348">
        <v>1283</v>
      </c>
      <c r="BL19" s="348">
        <v>1317</v>
      </c>
      <c r="BM19" s="348">
        <v>1196</v>
      </c>
      <c r="BN19" s="348">
        <v>1255</v>
      </c>
      <c r="BO19" s="348">
        <v>1284</v>
      </c>
      <c r="BP19" s="348">
        <v>1346</v>
      </c>
      <c r="BQ19" s="348">
        <v>1273</v>
      </c>
      <c r="BR19" s="348">
        <v>1265</v>
      </c>
      <c r="BS19" s="348">
        <v>1268</v>
      </c>
      <c r="BT19" s="348">
        <v>1281</v>
      </c>
      <c r="BU19" s="348">
        <v>1325</v>
      </c>
      <c r="BV19" s="348">
        <v>1224</v>
      </c>
      <c r="BW19" s="348">
        <v>1315</v>
      </c>
      <c r="BX19" s="348">
        <v>1309</v>
      </c>
      <c r="BY19" s="348">
        <v>1292</v>
      </c>
      <c r="BZ19" s="348">
        <v>1279</v>
      </c>
      <c r="CA19" s="348">
        <v>1373</v>
      </c>
      <c r="CB19" s="348">
        <v>1266</v>
      </c>
      <c r="CC19" s="348">
        <v>1309</v>
      </c>
      <c r="CD19" s="348">
        <v>1249</v>
      </c>
      <c r="CE19" s="348">
        <v>1246</v>
      </c>
      <c r="CF19" s="441">
        <v>1291</v>
      </c>
      <c r="CG19" s="441">
        <v>1305</v>
      </c>
      <c r="CH19" s="441">
        <v>1177</v>
      </c>
      <c r="CI19" s="441">
        <v>1269</v>
      </c>
      <c r="CJ19" s="441">
        <v>1266</v>
      </c>
      <c r="CK19" s="441">
        <v>1218</v>
      </c>
      <c r="CL19" s="441">
        <v>1217</v>
      </c>
      <c r="CM19" s="441">
        <v>1299</v>
      </c>
      <c r="CN19" s="441">
        <v>1179</v>
      </c>
      <c r="CO19" s="441">
        <v>1201</v>
      </c>
      <c r="CP19" s="441">
        <v>1226</v>
      </c>
      <c r="CQ19" s="441">
        <v>1271</v>
      </c>
      <c r="CR19" s="441">
        <v>1183</v>
      </c>
      <c r="CS19" s="441">
        <v>1141</v>
      </c>
      <c r="CT19" s="441">
        <v>1095</v>
      </c>
      <c r="CU19" s="441">
        <v>1200</v>
      </c>
      <c r="CV19" s="441">
        <v>1204</v>
      </c>
      <c r="CW19" s="441">
        <v>1207</v>
      </c>
      <c r="CX19" s="441">
        <v>1087</v>
      </c>
      <c r="CY19" s="441">
        <v>1046</v>
      </c>
      <c r="CZ19" s="441">
        <v>959</v>
      </c>
      <c r="DA19" s="441">
        <v>970</v>
      </c>
      <c r="DB19" s="441">
        <v>982</v>
      </c>
      <c r="DC19" s="441">
        <v>901</v>
      </c>
      <c r="DD19" s="441">
        <v>939</v>
      </c>
      <c r="DE19" s="441">
        <v>930</v>
      </c>
      <c r="DF19" s="441">
        <v>839</v>
      </c>
      <c r="DG19" s="441">
        <v>873</v>
      </c>
      <c r="DH19" s="441">
        <v>911</v>
      </c>
      <c r="DI19" s="441">
        <v>869</v>
      </c>
      <c r="DJ19" s="441">
        <v>869</v>
      </c>
      <c r="DK19" s="441">
        <v>846</v>
      </c>
      <c r="DL19" s="441">
        <v>793</v>
      </c>
      <c r="DM19" s="441">
        <v>825</v>
      </c>
      <c r="DN19" s="441">
        <v>798</v>
      </c>
      <c r="DO19" s="441">
        <v>787</v>
      </c>
      <c r="DP19" s="441">
        <v>847</v>
      </c>
      <c r="DQ19" s="441">
        <v>805</v>
      </c>
      <c r="DR19" s="441">
        <v>744</v>
      </c>
      <c r="DS19" s="441">
        <v>829</v>
      </c>
      <c r="DT19" s="441">
        <v>835</v>
      </c>
      <c r="DU19" s="441">
        <v>816</v>
      </c>
      <c r="DV19" s="441">
        <v>849</v>
      </c>
      <c r="DW19" s="441">
        <v>843</v>
      </c>
      <c r="DX19" s="441">
        <v>836</v>
      </c>
      <c r="DY19" s="441">
        <v>856</v>
      </c>
      <c r="DZ19" s="441">
        <v>843</v>
      </c>
      <c r="EA19" s="441">
        <v>857</v>
      </c>
      <c r="EB19" s="441">
        <v>891</v>
      </c>
      <c r="EC19" s="441">
        <v>881</v>
      </c>
      <c r="ED19" s="441">
        <v>893</v>
      </c>
      <c r="EE19" s="441">
        <v>949</v>
      </c>
      <c r="EF19" s="441">
        <v>947</v>
      </c>
      <c r="EG19" s="441">
        <v>880</v>
      </c>
      <c r="EH19" s="441">
        <v>965</v>
      </c>
      <c r="EI19" s="441">
        <v>883</v>
      </c>
      <c r="EJ19" s="441">
        <v>933</v>
      </c>
      <c r="EK19" s="441">
        <v>919</v>
      </c>
      <c r="EL19" s="441">
        <v>894</v>
      </c>
      <c r="EM19" s="441">
        <v>914</v>
      </c>
      <c r="EN19" s="441">
        <v>908</v>
      </c>
      <c r="EO19" s="441">
        <v>793</v>
      </c>
      <c r="EP19" s="441">
        <v>850</v>
      </c>
      <c r="EQ19" s="441">
        <v>884</v>
      </c>
      <c r="ER19" s="441">
        <v>833</v>
      </c>
      <c r="ES19" s="441">
        <v>869</v>
      </c>
      <c r="ET19" s="441">
        <v>807</v>
      </c>
      <c r="EU19" s="441">
        <v>766</v>
      </c>
      <c r="EV19" s="441">
        <v>792</v>
      </c>
      <c r="EW19" s="441">
        <v>761</v>
      </c>
      <c r="EX19" s="441">
        <v>734</v>
      </c>
      <c r="EY19" s="441">
        <v>758</v>
      </c>
      <c r="EZ19" s="441">
        <v>751</v>
      </c>
      <c r="FA19" s="441">
        <v>698</v>
      </c>
      <c r="FB19" s="441">
        <v>688</v>
      </c>
      <c r="FC19" s="441">
        <v>738</v>
      </c>
      <c r="FD19" s="441">
        <v>797</v>
      </c>
      <c r="FE19" s="441">
        <v>726</v>
      </c>
      <c r="FF19" s="441">
        <v>745</v>
      </c>
      <c r="FG19" s="441">
        <v>734</v>
      </c>
      <c r="FH19" s="441">
        <v>745</v>
      </c>
      <c r="FI19" s="441">
        <v>726</v>
      </c>
      <c r="FJ19" s="441">
        <v>704</v>
      </c>
      <c r="FK19" s="441">
        <v>709</v>
      </c>
      <c r="FL19" s="441">
        <v>720</v>
      </c>
      <c r="FM19" s="441">
        <v>647</v>
      </c>
      <c r="FN19" s="441">
        <v>682</v>
      </c>
      <c r="FO19" s="441">
        <v>728</v>
      </c>
      <c r="FP19" s="441">
        <v>779</v>
      </c>
      <c r="FQ19" s="441">
        <v>759</v>
      </c>
      <c r="FR19" s="441">
        <v>827</v>
      </c>
      <c r="FS19" s="441">
        <v>781</v>
      </c>
      <c r="FT19" s="441">
        <v>820</v>
      </c>
      <c r="FU19" s="441">
        <v>828</v>
      </c>
      <c r="FV19" s="441">
        <v>827</v>
      </c>
      <c r="FW19" s="441">
        <v>873</v>
      </c>
      <c r="FX19" s="441">
        <v>830</v>
      </c>
      <c r="FY19" s="441">
        <v>754</v>
      </c>
      <c r="FZ19" s="441">
        <v>768</v>
      </c>
      <c r="GA19" s="441">
        <v>814</v>
      </c>
      <c r="GB19" s="441">
        <v>805</v>
      </c>
      <c r="GC19" s="441">
        <v>788</v>
      </c>
      <c r="GD19" s="441">
        <v>806</v>
      </c>
      <c r="GE19" s="441">
        <v>792</v>
      </c>
      <c r="GF19" s="441">
        <v>793</v>
      </c>
      <c r="GG19" s="441">
        <v>814</v>
      </c>
      <c r="GH19" s="441">
        <v>801</v>
      </c>
      <c r="GI19" s="441">
        <v>819</v>
      </c>
      <c r="GJ19" s="441">
        <v>816</v>
      </c>
      <c r="GK19" s="430">
        <v>750</v>
      </c>
    </row>
    <row r="20" spans="1:193">
      <c r="A20" s="231" t="s">
        <v>239</v>
      </c>
      <c r="B20" s="442">
        <v>5565</v>
      </c>
      <c r="C20" s="442">
        <v>5320</v>
      </c>
      <c r="D20" s="442">
        <v>5988</v>
      </c>
      <c r="E20" s="442">
        <v>5303</v>
      </c>
      <c r="F20" s="442">
        <v>5850</v>
      </c>
      <c r="G20" s="442">
        <v>5701</v>
      </c>
      <c r="H20" s="442">
        <v>5838</v>
      </c>
      <c r="I20" s="442">
        <v>5997</v>
      </c>
      <c r="J20" s="442">
        <v>5011</v>
      </c>
      <c r="K20" s="442">
        <v>5387</v>
      </c>
      <c r="L20" s="442">
        <v>5305</v>
      </c>
      <c r="M20" s="442">
        <v>5021</v>
      </c>
      <c r="N20" s="442">
        <v>5253</v>
      </c>
      <c r="O20" s="442">
        <v>4658</v>
      </c>
      <c r="P20" s="442">
        <v>5572</v>
      </c>
      <c r="Q20" s="442">
        <v>5193</v>
      </c>
      <c r="R20" s="442">
        <v>5505</v>
      </c>
      <c r="S20" s="442">
        <v>5618</v>
      </c>
      <c r="T20" s="442">
        <v>5463</v>
      </c>
      <c r="U20" s="442">
        <v>5258</v>
      </c>
      <c r="V20" s="442">
        <v>5409</v>
      </c>
      <c r="W20" s="442">
        <v>5653</v>
      </c>
      <c r="X20" s="442">
        <v>5165</v>
      </c>
      <c r="Y20" s="442">
        <v>5468</v>
      </c>
      <c r="Z20" s="442">
        <v>5347</v>
      </c>
      <c r="AA20" s="442">
        <v>5270</v>
      </c>
      <c r="AB20" s="442">
        <v>5741</v>
      </c>
      <c r="AC20" s="442">
        <v>5588</v>
      </c>
      <c r="AD20" s="442">
        <v>5916</v>
      </c>
      <c r="AE20" s="442">
        <v>5763</v>
      </c>
      <c r="AF20" s="442">
        <v>6090</v>
      </c>
      <c r="AG20" s="442">
        <v>5816</v>
      </c>
      <c r="AH20" s="442">
        <v>5805</v>
      </c>
      <c r="AI20" s="442">
        <v>6164</v>
      </c>
      <c r="AJ20" s="442">
        <v>5863</v>
      </c>
      <c r="AK20" s="442">
        <v>6111</v>
      </c>
      <c r="AL20" s="442">
        <v>6131</v>
      </c>
      <c r="AM20" s="442">
        <v>6082</v>
      </c>
      <c r="AN20" s="442">
        <v>6779</v>
      </c>
      <c r="AO20" s="442">
        <v>6141</v>
      </c>
      <c r="AP20" s="442">
        <v>6651</v>
      </c>
      <c r="AQ20" s="442">
        <v>7321</v>
      </c>
      <c r="AR20" s="442">
        <v>6547</v>
      </c>
      <c r="AS20" s="442">
        <v>6657</v>
      </c>
      <c r="AT20" s="442">
        <v>6726</v>
      </c>
      <c r="AU20" s="442">
        <v>6758</v>
      </c>
      <c r="AV20" s="442">
        <v>6742</v>
      </c>
      <c r="AW20" s="442">
        <v>6547</v>
      </c>
      <c r="AX20" s="442">
        <v>5804</v>
      </c>
      <c r="AY20" s="442">
        <v>5996</v>
      </c>
      <c r="AZ20" s="442">
        <v>6413</v>
      </c>
      <c r="BA20" s="442">
        <v>5906</v>
      </c>
      <c r="BB20" s="442">
        <v>6494</v>
      </c>
      <c r="BC20" s="442">
        <v>6491</v>
      </c>
      <c r="BD20" s="442">
        <v>6682</v>
      </c>
      <c r="BE20" s="442">
        <v>6384</v>
      </c>
      <c r="BF20" s="442">
        <v>6636</v>
      </c>
      <c r="BG20" s="442">
        <v>6920</v>
      </c>
      <c r="BH20" s="442">
        <v>7081</v>
      </c>
      <c r="BI20" s="442">
        <v>6896</v>
      </c>
      <c r="BJ20" s="442">
        <v>6895</v>
      </c>
      <c r="BK20" s="442">
        <v>6904</v>
      </c>
      <c r="BL20" s="442">
        <v>7599</v>
      </c>
      <c r="BM20" s="442">
        <v>6922</v>
      </c>
      <c r="BN20" s="442">
        <v>7988</v>
      </c>
      <c r="BO20" s="442">
        <v>7975</v>
      </c>
      <c r="BP20" s="442">
        <v>7686</v>
      </c>
      <c r="BQ20" s="442">
        <v>8031</v>
      </c>
      <c r="BR20" s="442">
        <v>7411</v>
      </c>
      <c r="BS20" s="442">
        <v>7341</v>
      </c>
      <c r="BT20" s="442">
        <v>7448</v>
      </c>
      <c r="BU20" s="442">
        <v>7135</v>
      </c>
      <c r="BV20" s="442">
        <v>7096</v>
      </c>
      <c r="BW20" s="442">
        <v>7579</v>
      </c>
      <c r="BX20" s="442">
        <v>7570</v>
      </c>
      <c r="BY20" s="442">
        <v>7414</v>
      </c>
      <c r="BZ20" s="442">
        <v>8562</v>
      </c>
      <c r="CA20" s="442">
        <v>8126</v>
      </c>
      <c r="CB20" s="442">
        <v>8265</v>
      </c>
      <c r="CC20" s="442">
        <v>8920</v>
      </c>
      <c r="CD20" s="442">
        <v>8146</v>
      </c>
      <c r="CE20" s="442">
        <v>8348</v>
      </c>
      <c r="CF20" s="442">
        <v>8431</v>
      </c>
      <c r="CG20" s="442">
        <v>8250</v>
      </c>
      <c r="CH20" s="442">
        <v>9403</v>
      </c>
      <c r="CI20" s="442">
        <v>9192</v>
      </c>
      <c r="CJ20" s="442">
        <v>9864</v>
      </c>
      <c r="CK20" s="442">
        <v>10032</v>
      </c>
      <c r="CL20" s="442">
        <v>10414</v>
      </c>
      <c r="CM20" s="442">
        <v>10221</v>
      </c>
      <c r="CN20" s="442">
        <v>10992</v>
      </c>
      <c r="CO20" s="442">
        <v>11186</v>
      </c>
      <c r="CP20" s="442">
        <v>11249</v>
      </c>
      <c r="CQ20" s="442">
        <v>11788</v>
      </c>
      <c r="CR20" s="442">
        <v>11370</v>
      </c>
      <c r="CS20" s="442">
        <v>10289</v>
      </c>
      <c r="CT20" s="442">
        <v>11192</v>
      </c>
      <c r="CU20" s="442">
        <v>11608</v>
      </c>
      <c r="CV20" s="442">
        <v>12415</v>
      </c>
      <c r="CW20" s="442">
        <v>12051</v>
      </c>
      <c r="CX20" s="442">
        <v>12599</v>
      </c>
      <c r="CY20" s="442">
        <v>12850</v>
      </c>
      <c r="CZ20" s="442">
        <v>13472</v>
      </c>
      <c r="DA20" s="442">
        <v>13145</v>
      </c>
      <c r="DB20" s="442">
        <v>13483</v>
      </c>
      <c r="DC20" s="442">
        <v>13641</v>
      </c>
      <c r="DD20" s="442">
        <v>13565</v>
      </c>
      <c r="DE20" s="442">
        <v>13733</v>
      </c>
      <c r="DF20" s="442">
        <v>13300</v>
      </c>
      <c r="DG20" s="442">
        <v>13291</v>
      </c>
      <c r="DH20" s="442">
        <v>14516</v>
      </c>
      <c r="DI20" s="442">
        <v>13503</v>
      </c>
      <c r="DJ20" s="442">
        <v>13834</v>
      </c>
      <c r="DK20" s="442">
        <v>14771</v>
      </c>
      <c r="DL20" s="442">
        <v>15745</v>
      </c>
      <c r="DM20" s="442">
        <v>15984</v>
      </c>
      <c r="DN20" s="442">
        <v>15118</v>
      </c>
      <c r="DO20" s="442">
        <v>15687</v>
      </c>
      <c r="DP20" s="442">
        <v>16196</v>
      </c>
      <c r="DQ20" s="442">
        <v>14896</v>
      </c>
      <c r="DR20" s="442">
        <v>14835</v>
      </c>
      <c r="DS20" s="442">
        <v>14410</v>
      </c>
      <c r="DT20" s="442">
        <v>15807</v>
      </c>
      <c r="DU20" s="442">
        <v>15220</v>
      </c>
      <c r="DV20" s="442">
        <v>16414</v>
      </c>
      <c r="DW20" s="442">
        <v>16163</v>
      </c>
      <c r="DX20" s="442">
        <v>16440</v>
      </c>
      <c r="DY20" s="442">
        <v>18188</v>
      </c>
      <c r="DZ20" s="442">
        <v>16981</v>
      </c>
      <c r="EA20" s="442">
        <v>17516</v>
      </c>
      <c r="EB20" s="442">
        <v>17521</v>
      </c>
      <c r="EC20" s="442">
        <v>17816</v>
      </c>
      <c r="ED20" s="442">
        <v>14058</v>
      </c>
      <c r="EE20" s="442">
        <v>14241</v>
      </c>
      <c r="EF20" s="442">
        <v>15141</v>
      </c>
      <c r="EG20" s="442">
        <v>15386</v>
      </c>
      <c r="EH20" s="442">
        <v>16776</v>
      </c>
      <c r="EI20" s="442">
        <v>16457</v>
      </c>
      <c r="EJ20" s="442">
        <v>16806</v>
      </c>
      <c r="EK20" s="442">
        <v>18000</v>
      </c>
      <c r="EL20" s="442">
        <v>17866</v>
      </c>
      <c r="EM20" s="442">
        <v>18871</v>
      </c>
      <c r="EN20" s="442">
        <v>18628</v>
      </c>
      <c r="EO20" s="442">
        <v>17936</v>
      </c>
      <c r="EP20" s="442">
        <v>18548</v>
      </c>
      <c r="EQ20" s="442">
        <v>18001</v>
      </c>
      <c r="ER20" s="442">
        <v>19724</v>
      </c>
      <c r="ES20" s="442">
        <v>19746</v>
      </c>
      <c r="ET20" s="442">
        <v>20728</v>
      </c>
      <c r="EU20" s="442">
        <v>20472</v>
      </c>
      <c r="EV20" s="442">
        <v>21726</v>
      </c>
      <c r="EW20" s="442">
        <v>22155</v>
      </c>
      <c r="EX20" s="442">
        <v>21593</v>
      </c>
      <c r="EY20" s="442">
        <v>22639</v>
      </c>
      <c r="EZ20" s="442">
        <v>22235</v>
      </c>
      <c r="FA20" s="442">
        <v>21169</v>
      </c>
      <c r="FB20" s="442">
        <v>22065</v>
      </c>
      <c r="FC20" s="442">
        <v>20631</v>
      </c>
      <c r="FD20" s="442">
        <v>22348</v>
      </c>
      <c r="FE20" s="442">
        <v>21909</v>
      </c>
      <c r="FF20" s="442">
        <v>22953</v>
      </c>
      <c r="FG20" s="442">
        <v>22607</v>
      </c>
      <c r="FH20" s="442">
        <v>23663</v>
      </c>
      <c r="FI20" s="442">
        <v>23043</v>
      </c>
      <c r="FJ20" s="442">
        <v>22779</v>
      </c>
      <c r="FK20" s="442">
        <v>23454</v>
      </c>
      <c r="FL20" s="442">
        <v>22448</v>
      </c>
      <c r="FM20" s="442">
        <v>22314</v>
      </c>
      <c r="FN20" s="442">
        <v>22079</v>
      </c>
      <c r="FO20" s="442">
        <v>20753</v>
      </c>
      <c r="FP20" s="442">
        <v>22840</v>
      </c>
      <c r="FQ20" s="442">
        <v>21098</v>
      </c>
      <c r="FR20" s="442">
        <v>21453</v>
      </c>
      <c r="FS20" s="442">
        <v>21438</v>
      </c>
      <c r="FT20" s="442">
        <v>21606</v>
      </c>
      <c r="FU20" s="442">
        <v>21083</v>
      </c>
      <c r="FV20" s="442">
        <v>20498</v>
      </c>
      <c r="FW20" s="442">
        <v>20472</v>
      </c>
      <c r="FX20" s="442">
        <v>20502</v>
      </c>
      <c r="FY20" s="442">
        <v>20799</v>
      </c>
      <c r="FZ20" s="442">
        <v>20491</v>
      </c>
      <c r="GA20" s="442">
        <v>20348</v>
      </c>
      <c r="GB20" s="442">
        <v>21667</v>
      </c>
      <c r="GC20" s="442">
        <v>20519</v>
      </c>
      <c r="GD20" s="442">
        <v>21797</v>
      </c>
      <c r="GE20" s="442">
        <v>21044</v>
      </c>
      <c r="GF20" s="442">
        <v>20996</v>
      </c>
      <c r="GG20" s="442">
        <v>21474</v>
      </c>
      <c r="GH20" s="442">
        <v>20620</v>
      </c>
      <c r="GI20" s="442">
        <v>20397</v>
      </c>
      <c r="GJ20" s="442">
        <v>20740</v>
      </c>
      <c r="GK20" s="431">
        <v>19808</v>
      </c>
    </row>
    <row r="21" spans="1:193">
      <c r="A21" s="231" t="s">
        <v>241</v>
      </c>
      <c r="B21" s="348">
        <v>2421</v>
      </c>
      <c r="C21" s="348">
        <v>2346</v>
      </c>
      <c r="D21" s="348">
        <v>3569</v>
      </c>
      <c r="E21" s="348">
        <v>2470</v>
      </c>
      <c r="F21" s="348">
        <v>2697</v>
      </c>
      <c r="G21" s="348">
        <v>2496</v>
      </c>
      <c r="H21" s="348">
        <v>2633</v>
      </c>
      <c r="I21" s="348">
        <v>2472</v>
      </c>
      <c r="J21" s="348">
        <v>2282</v>
      </c>
      <c r="K21" s="348">
        <v>2463</v>
      </c>
      <c r="L21" s="348">
        <v>2606</v>
      </c>
      <c r="M21" s="348">
        <v>2458</v>
      </c>
      <c r="N21" s="348">
        <v>2469</v>
      </c>
      <c r="O21" s="348">
        <v>2499</v>
      </c>
      <c r="P21" s="348">
        <v>2402</v>
      </c>
      <c r="Q21" s="348">
        <v>2421</v>
      </c>
      <c r="R21" s="348">
        <v>2439</v>
      </c>
      <c r="S21" s="348">
        <v>2309</v>
      </c>
      <c r="T21" s="348">
        <v>2458</v>
      </c>
      <c r="U21" s="348">
        <v>2348</v>
      </c>
      <c r="V21" s="348">
        <v>2252</v>
      </c>
      <c r="W21" s="348">
        <v>2257</v>
      </c>
      <c r="X21" s="348">
        <v>2324</v>
      </c>
      <c r="Y21" s="348">
        <v>2273</v>
      </c>
      <c r="Z21" s="348">
        <v>2219</v>
      </c>
      <c r="AA21" s="348">
        <v>2212</v>
      </c>
      <c r="AB21" s="348">
        <v>2354</v>
      </c>
      <c r="AC21" s="348">
        <v>2340</v>
      </c>
      <c r="AD21" s="348">
        <v>2470</v>
      </c>
      <c r="AE21" s="348">
        <v>2462</v>
      </c>
      <c r="AF21" s="348">
        <v>3128</v>
      </c>
      <c r="AG21" s="348">
        <v>2367</v>
      </c>
      <c r="AH21" s="348">
        <v>2400</v>
      </c>
      <c r="AI21" s="348">
        <v>2367</v>
      </c>
      <c r="AJ21" s="348">
        <v>2307</v>
      </c>
      <c r="AK21" s="348">
        <v>2400</v>
      </c>
      <c r="AL21" s="348">
        <v>2291</v>
      </c>
      <c r="AM21" s="348">
        <v>2414</v>
      </c>
      <c r="AN21" s="348">
        <v>2738</v>
      </c>
      <c r="AO21" s="348">
        <v>2519</v>
      </c>
      <c r="AP21" s="348">
        <v>2621</v>
      </c>
      <c r="AQ21" s="348">
        <v>2708</v>
      </c>
      <c r="AR21" s="348">
        <v>2688</v>
      </c>
      <c r="AS21" s="348">
        <v>2782</v>
      </c>
      <c r="AT21" s="348">
        <v>2615</v>
      </c>
      <c r="AU21" s="348">
        <v>2817</v>
      </c>
      <c r="AV21" s="348">
        <v>2766</v>
      </c>
      <c r="AW21" s="348">
        <v>2813</v>
      </c>
      <c r="AX21" s="348">
        <v>2836</v>
      </c>
      <c r="AY21" s="348">
        <v>2755</v>
      </c>
      <c r="AZ21" s="348">
        <v>2907</v>
      </c>
      <c r="BA21" s="348">
        <v>2907</v>
      </c>
      <c r="BB21" s="348">
        <v>2999</v>
      </c>
      <c r="BC21" s="348">
        <v>3183</v>
      </c>
      <c r="BD21" s="348">
        <v>3319</v>
      </c>
      <c r="BE21" s="348">
        <v>3332</v>
      </c>
      <c r="BF21" s="348">
        <v>3182</v>
      </c>
      <c r="BG21" s="348">
        <v>3204</v>
      </c>
      <c r="BH21" s="348">
        <v>3267</v>
      </c>
      <c r="BI21" s="348">
        <v>3099</v>
      </c>
      <c r="BJ21" s="348">
        <v>3118</v>
      </c>
      <c r="BK21" s="348">
        <v>3205</v>
      </c>
      <c r="BL21" s="348">
        <v>3501</v>
      </c>
      <c r="BM21" s="348">
        <v>3254</v>
      </c>
      <c r="BN21" s="348">
        <v>3533</v>
      </c>
      <c r="BO21" s="348">
        <v>3405</v>
      </c>
      <c r="BP21" s="348">
        <v>3428</v>
      </c>
      <c r="BQ21" s="348">
        <v>3683</v>
      </c>
      <c r="BR21" s="348">
        <v>3485</v>
      </c>
      <c r="BS21" s="348">
        <v>3676</v>
      </c>
      <c r="BT21" s="348">
        <v>3788</v>
      </c>
      <c r="BU21" s="348">
        <v>3609</v>
      </c>
      <c r="BV21" s="348">
        <v>3884</v>
      </c>
      <c r="BW21" s="348">
        <v>3739</v>
      </c>
      <c r="BX21" s="348">
        <v>4086</v>
      </c>
      <c r="BY21" s="348">
        <v>3992</v>
      </c>
      <c r="BZ21" s="348">
        <v>4438</v>
      </c>
      <c r="CA21" s="348">
        <v>4586</v>
      </c>
      <c r="CB21" s="348">
        <v>4586</v>
      </c>
      <c r="CC21" s="348">
        <v>4664</v>
      </c>
      <c r="CD21" s="348">
        <v>4392</v>
      </c>
      <c r="CE21" s="348">
        <v>4612</v>
      </c>
      <c r="CF21" s="441">
        <v>4543</v>
      </c>
      <c r="CG21" s="441">
        <v>4582</v>
      </c>
      <c r="CH21" s="441">
        <v>4839</v>
      </c>
      <c r="CI21" s="441">
        <v>4694</v>
      </c>
      <c r="CJ21" s="441">
        <v>4769</v>
      </c>
      <c r="CK21" s="441">
        <v>4816</v>
      </c>
      <c r="CL21" s="441">
        <v>5041</v>
      </c>
      <c r="CM21" s="441">
        <v>4948</v>
      </c>
      <c r="CN21" s="441">
        <v>5073</v>
      </c>
      <c r="CO21" s="441">
        <v>4799</v>
      </c>
      <c r="CP21" s="441">
        <v>4768</v>
      </c>
      <c r="CQ21" s="441">
        <v>4979</v>
      </c>
      <c r="CR21" s="441">
        <v>4952</v>
      </c>
      <c r="CS21" s="441">
        <v>4792</v>
      </c>
      <c r="CT21" s="441">
        <v>4674</v>
      </c>
      <c r="CU21" s="441">
        <v>4300</v>
      </c>
      <c r="CV21" s="441">
        <v>4217</v>
      </c>
      <c r="CW21" s="441">
        <v>3850</v>
      </c>
      <c r="CX21" s="441">
        <v>3820</v>
      </c>
      <c r="CY21" s="441">
        <v>3854</v>
      </c>
      <c r="CZ21" s="441">
        <v>4034</v>
      </c>
      <c r="DA21" s="441">
        <v>3955</v>
      </c>
      <c r="DB21" s="441">
        <v>3841</v>
      </c>
      <c r="DC21" s="441">
        <v>3817</v>
      </c>
      <c r="DD21" s="441">
        <v>3776</v>
      </c>
      <c r="DE21" s="441">
        <v>3664</v>
      </c>
      <c r="DF21" s="441">
        <v>3633</v>
      </c>
      <c r="DG21" s="441">
        <v>3454</v>
      </c>
      <c r="DH21" s="441">
        <v>3865</v>
      </c>
      <c r="DI21" s="441">
        <v>3659</v>
      </c>
      <c r="DJ21" s="441">
        <v>3650</v>
      </c>
      <c r="DK21" s="441">
        <v>3780</v>
      </c>
      <c r="DL21" s="441">
        <v>3722</v>
      </c>
      <c r="DM21" s="441">
        <v>3825</v>
      </c>
      <c r="DN21" s="441">
        <v>3764</v>
      </c>
      <c r="DO21" s="441">
        <v>3770</v>
      </c>
      <c r="DP21" s="441">
        <v>3913</v>
      </c>
      <c r="DQ21" s="441">
        <v>3681</v>
      </c>
      <c r="DR21" s="441">
        <v>3810</v>
      </c>
      <c r="DS21" s="441">
        <v>3696</v>
      </c>
      <c r="DT21" s="441">
        <v>4077</v>
      </c>
      <c r="DU21" s="441">
        <v>3934</v>
      </c>
      <c r="DV21" s="441">
        <v>4320</v>
      </c>
      <c r="DW21" s="441">
        <v>4272</v>
      </c>
      <c r="DX21" s="441">
        <v>4296</v>
      </c>
      <c r="DY21" s="441">
        <v>4482</v>
      </c>
      <c r="DZ21" s="441">
        <v>4271</v>
      </c>
      <c r="EA21" s="441">
        <v>4370</v>
      </c>
      <c r="EB21" s="441">
        <v>4529</v>
      </c>
      <c r="EC21" s="441">
        <v>4194</v>
      </c>
      <c r="ED21" s="441">
        <v>4368</v>
      </c>
      <c r="EE21" s="441">
        <v>4317</v>
      </c>
      <c r="EF21" s="441">
        <v>4486</v>
      </c>
      <c r="EG21" s="441">
        <v>4270</v>
      </c>
      <c r="EH21" s="441">
        <v>4475</v>
      </c>
      <c r="EI21" s="441">
        <v>4370</v>
      </c>
      <c r="EJ21" s="441">
        <v>4510</v>
      </c>
      <c r="EK21" s="441">
        <v>4562</v>
      </c>
      <c r="EL21" s="441">
        <v>4439</v>
      </c>
      <c r="EM21" s="441">
        <v>4458</v>
      </c>
      <c r="EN21" s="441">
        <v>4436</v>
      </c>
      <c r="EO21" s="441">
        <v>4100</v>
      </c>
      <c r="EP21" s="441">
        <v>4207</v>
      </c>
      <c r="EQ21" s="441">
        <v>4195</v>
      </c>
      <c r="ER21" s="441">
        <v>4250</v>
      </c>
      <c r="ES21" s="441">
        <v>4224</v>
      </c>
      <c r="ET21" s="441">
        <v>4305</v>
      </c>
      <c r="EU21" s="441">
        <v>4177</v>
      </c>
      <c r="EV21" s="441">
        <v>4141</v>
      </c>
      <c r="EW21" s="441">
        <v>4100</v>
      </c>
      <c r="EX21" s="441">
        <v>3957</v>
      </c>
      <c r="EY21" s="441">
        <v>4010</v>
      </c>
      <c r="EZ21" s="441">
        <v>3856</v>
      </c>
      <c r="FA21" s="441">
        <v>3669</v>
      </c>
      <c r="FB21" s="441">
        <v>3612</v>
      </c>
      <c r="FC21" s="441">
        <v>3420</v>
      </c>
      <c r="FD21" s="441">
        <v>3614</v>
      </c>
      <c r="FE21" s="441">
        <v>3381</v>
      </c>
      <c r="FF21" s="441">
        <v>3602</v>
      </c>
      <c r="FG21" s="441">
        <v>3329</v>
      </c>
      <c r="FH21" s="441">
        <v>3461</v>
      </c>
      <c r="FI21" s="441">
        <v>3362</v>
      </c>
      <c r="FJ21" s="441">
        <v>3251</v>
      </c>
      <c r="FK21" s="441">
        <v>3477</v>
      </c>
      <c r="FL21" s="441">
        <v>3229</v>
      </c>
      <c r="FM21" s="441">
        <v>3081</v>
      </c>
      <c r="FN21" s="441">
        <v>3192</v>
      </c>
      <c r="FO21" s="441">
        <v>3100</v>
      </c>
      <c r="FP21" s="441">
        <v>3285</v>
      </c>
      <c r="FQ21" s="441">
        <v>3146</v>
      </c>
      <c r="FR21" s="441">
        <v>3335</v>
      </c>
      <c r="FS21" s="441">
        <v>3274</v>
      </c>
      <c r="FT21" s="441">
        <v>3306</v>
      </c>
      <c r="FU21" s="441">
        <v>3080</v>
      </c>
      <c r="FV21" s="441">
        <v>2920</v>
      </c>
      <c r="FW21" s="441">
        <v>3059</v>
      </c>
      <c r="FX21" s="441">
        <v>2778</v>
      </c>
      <c r="FY21" s="441">
        <v>2673</v>
      </c>
      <c r="FZ21" s="441">
        <v>2623</v>
      </c>
      <c r="GA21" s="441">
        <v>2584</v>
      </c>
      <c r="GB21" s="441">
        <v>2632</v>
      </c>
      <c r="GC21" s="441">
        <v>2433</v>
      </c>
      <c r="GD21" s="441">
        <v>2620</v>
      </c>
      <c r="GE21" s="441">
        <v>2443</v>
      </c>
      <c r="GF21" s="441">
        <v>2368</v>
      </c>
      <c r="GG21" s="441">
        <v>2563</v>
      </c>
      <c r="GH21" s="441">
        <v>2417</v>
      </c>
      <c r="GI21" s="441">
        <v>2497</v>
      </c>
      <c r="GJ21" s="441">
        <v>2590</v>
      </c>
      <c r="GK21" s="430">
        <v>2448</v>
      </c>
    </row>
    <row r="22" spans="1:193">
      <c r="A22" s="231" t="s">
        <v>244</v>
      </c>
      <c r="B22" s="442">
        <v>400</v>
      </c>
      <c r="C22" s="442">
        <v>443</v>
      </c>
      <c r="D22" s="442">
        <v>476</v>
      </c>
      <c r="E22" s="442">
        <v>450</v>
      </c>
      <c r="F22" s="442">
        <v>460</v>
      </c>
      <c r="G22" s="442">
        <v>449</v>
      </c>
      <c r="H22" s="442">
        <v>422</v>
      </c>
      <c r="I22" s="442">
        <v>415</v>
      </c>
      <c r="J22" s="442">
        <v>422</v>
      </c>
      <c r="K22" s="442">
        <v>469</v>
      </c>
      <c r="L22" s="442">
        <v>469</v>
      </c>
      <c r="M22" s="442">
        <v>424</v>
      </c>
      <c r="N22" s="442">
        <v>380</v>
      </c>
      <c r="O22" s="442">
        <v>395</v>
      </c>
      <c r="P22" s="442">
        <v>427</v>
      </c>
      <c r="Q22" s="442">
        <v>402</v>
      </c>
      <c r="R22" s="442">
        <v>460</v>
      </c>
      <c r="S22" s="442">
        <v>386</v>
      </c>
      <c r="T22" s="442">
        <v>404</v>
      </c>
      <c r="U22" s="442">
        <v>415</v>
      </c>
      <c r="V22" s="442">
        <v>408</v>
      </c>
      <c r="W22" s="442">
        <v>440</v>
      </c>
      <c r="X22" s="442">
        <v>412</v>
      </c>
      <c r="Y22" s="442">
        <v>390</v>
      </c>
      <c r="Z22" s="442">
        <v>394</v>
      </c>
      <c r="AA22" s="442">
        <v>395</v>
      </c>
      <c r="AB22" s="442">
        <v>427</v>
      </c>
      <c r="AC22" s="442">
        <v>385</v>
      </c>
      <c r="AD22" s="442">
        <v>433</v>
      </c>
      <c r="AE22" s="442">
        <v>406</v>
      </c>
      <c r="AF22" s="442">
        <v>407</v>
      </c>
      <c r="AG22" s="442">
        <v>425</v>
      </c>
      <c r="AH22" s="442">
        <v>408</v>
      </c>
      <c r="AI22" s="442">
        <v>425</v>
      </c>
      <c r="AJ22" s="442">
        <v>405</v>
      </c>
      <c r="AK22" s="442">
        <v>398</v>
      </c>
      <c r="AL22" s="442">
        <v>429</v>
      </c>
      <c r="AM22" s="442">
        <v>406</v>
      </c>
      <c r="AN22" s="442">
        <v>420</v>
      </c>
      <c r="AO22" s="442">
        <v>389</v>
      </c>
      <c r="AP22" s="442">
        <v>399</v>
      </c>
      <c r="AQ22" s="442">
        <v>388</v>
      </c>
      <c r="AR22" s="442">
        <v>391</v>
      </c>
      <c r="AS22" s="442">
        <v>402</v>
      </c>
      <c r="AT22" s="442">
        <v>402</v>
      </c>
      <c r="AU22" s="442">
        <v>376</v>
      </c>
      <c r="AV22" s="442">
        <v>412</v>
      </c>
      <c r="AW22" s="442">
        <v>428</v>
      </c>
      <c r="AX22" s="442">
        <v>376</v>
      </c>
      <c r="AY22" s="442">
        <v>391</v>
      </c>
      <c r="AZ22" s="442">
        <v>416</v>
      </c>
      <c r="BA22" s="442">
        <v>375</v>
      </c>
      <c r="BB22" s="442">
        <v>404</v>
      </c>
      <c r="BC22" s="442">
        <v>401</v>
      </c>
      <c r="BD22" s="442">
        <v>408</v>
      </c>
      <c r="BE22" s="442">
        <v>426</v>
      </c>
      <c r="BF22" s="442">
        <v>402</v>
      </c>
      <c r="BG22" s="442">
        <v>433</v>
      </c>
      <c r="BH22" s="442">
        <v>452</v>
      </c>
      <c r="BI22" s="442">
        <v>436</v>
      </c>
      <c r="BJ22" s="442">
        <v>422</v>
      </c>
      <c r="BK22" s="442">
        <v>428</v>
      </c>
      <c r="BL22" s="442">
        <v>454</v>
      </c>
      <c r="BM22" s="442">
        <v>394</v>
      </c>
      <c r="BN22" s="442">
        <v>471</v>
      </c>
      <c r="BO22" s="442">
        <v>468</v>
      </c>
      <c r="BP22" s="442">
        <v>466</v>
      </c>
      <c r="BQ22" s="442">
        <v>485</v>
      </c>
      <c r="BR22" s="442">
        <v>462</v>
      </c>
      <c r="BS22" s="442">
        <v>468</v>
      </c>
      <c r="BT22" s="442">
        <v>483</v>
      </c>
      <c r="BU22" s="442">
        <v>453</v>
      </c>
      <c r="BV22" s="442">
        <v>462</v>
      </c>
      <c r="BW22" s="442">
        <v>460</v>
      </c>
      <c r="BX22" s="442">
        <v>485</v>
      </c>
      <c r="BY22" s="442">
        <v>440</v>
      </c>
      <c r="BZ22" s="442">
        <v>472</v>
      </c>
      <c r="CA22" s="442">
        <v>460</v>
      </c>
      <c r="CB22" s="442">
        <v>451</v>
      </c>
      <c r="CC22" s="442">
        <v>463</v>
      </c>
      <c r="CD22" s="442">
        <v>434</v>
      </c>
      <c r="CE22" s="442">
        <v>489</v>
      </c>
      <c r="CF22" s="442">
        <v>485</v>
      </c>
      <c r="CG22" s="442">
        <v>440</v>
      </c>
      <c r="CH22" s="442">
        <v>451</v>
      </c>
      <c r="CI22" s="442">
        <v>455</v>
      </c>
      <c r="CJ22" s="442">
        <v>440</v>
      </c>
      <c r="CK22" s="442">
        <v>430</v>
      </c>
      <c r="CL22" s="442">
        <v>454</v>
      </c>
      <c r="CM22" s="442">
        <v>446</v>
      </c>
      <c r="CN22" s="442">
        <v>482</v>
      </c>
      <c r="CO22" s="442">
        <v>484</v>
      </c>
      <c r="CP22" s="442">
        <v>480</v>
      </c>
      <c r="CQ22" s="442">
        <v>485</v>
      </c>
      <c r="CR22" s="442">
        <v>492</v>
      </c>
      <c r="CS22" s="442">
        <v>483</v>
      </c>
      <c r="CT22" s="442">
        <v>472</v>
      </c>
      <c r="CU22" s="442">
        <v>475</v>
      </c>
      <c r="CV22" s="442">
        <v>514</v>
      </c>
      <c r="CW22" s="442">
        <v>475</v>
      </c>
      <c r="CX22" s="442">
        <v>498</v>
      </c>
      <c r="CY22" s="442">
        <v>489</v>
      </c>
      <c r="CZ22" s="442">
        <v>506</v>
      </c>
      <c r="DA22" s="442">
        <v>503</v>
      </c>
      <c r="DB22" s="442">
        <v>506</v>
      </c>
      <c r="DC22" s="442">
        <v>502</v>
      </c>
      <c r="DD22" s="442">
        <v>519</v>
      </c>
      <c r="DE22" s="442">
        <v>511</v>
      </c>
      <c r="DF22" s="442">
        <v>475</v>
      </c>
      <c r="DG22" s="442">
        <v>476</v>
      </c>
      <c r="DH22" s="442">
        <v>470</v>
      </c>
      <c r="DI22" s="442">
        <v>472</v>
      </c>
      <c r="DJ22" s="442">
        <v>498</v>
      </c>
      <c r="DK22" s="442">
        <v>500</v>
      </c>
      <c r="DL22" s="442">
        <v>490</v>
      </c>
      <c r="DM22" s="442">
        <v>507</v>
      </c>
      <c r="DN22" s="442">
        <v>520</v>
      </c>
      <c r="DO22" s="442">
        <v>490</v>
      </c>
      <c r="DP22" s="442">
        <v>509</v>
      </c>
      <c r="DQ22" s="442">
        <v>492</v>
      </c>
      <c r="DR22" s="442">
        <v>473</v>
      </c>
      <c r="DS22" s="442">
        <v>469</v>
      </c>
      <c r="DT22" s="442">
        <v>514</v>
      </c>
      <c r="DU22" s="442">
        <v>491</v>
      </c>
      <c r="DV22" s="442">
        <v>540</v>
      </c>
      <c r="DW22" s="442">
        <v>533</v>
      </c>
      <c r="DX22" s="442">
        <v>542</v>
      </c>
      <c r="DY22" s="442">
        <v>571</v>
      </c>
      <c r="DZ22" s="442">
        <v>538</v>
      </c>
      <c r="EA22" s="442">
        <v>530</v>
      </c>
      <c r="EB22" s="442">
        <v>554</v>
      </c>
      <c r="EC22" s="442">
        <v>523</v>
      </c>
      <c r="ED22" s="442">
        <v>562</v>
      </c>
      <c r="EE22" s="442">
        <v>566</v>
      </c>
      <c r="EF22" s="442">
        <v>590</v>
      </c>
      <c r="EG22" s="442">
        <v>578</v>
      </c>
      <c r="EH22" s="442">
        <v>636</v>
      </c>
      <c r="EI22" s="442">
        <v>607</v>
      </c>
      <c r="EJ22" s="442">
        <v>616</v>
      </c>
      <c r="EK22" s="442">
        <v>585</v>
      </c>
      <c r="EL22" s="442">
        <v>548</v>
      </c>
      <c r="EM22" s="442">
        <v>537</v>
      </c>
      <c r="EN22" s="442">
        <v>581</v>
      </c>
      <c r="EO22" s="442">
        <v>556</v>
      </c>
      <c r="EP22" s="442">
        <v>573</v>
      </c>
      <c r="EQ22" s="442">
        <v>547</v>
      </c>
      <c r="ER22" s="442">
        <v>576</v>
      </c>
      <c r="ES22" s="442">
        <v>574</v>
      </c>
      <c r="ET22" s="442">
        <v>538</v>
      </c>
      <c r="EU22" s="442">
        <v>570</v>
      </c>
      <c r="EV22" s="442">
        <v>594</v>
      </c>
      <c r="EW22" s="442">
        <v>594</v>
      </c>
      <c r="EX22" s="442">
        <v>551</v>
      </c>
      <c r="EY22" s="442">
        <v>591</v>
      </c>
      <c r="EZ22" s="442">
        <v>613</v>
      </c>
      <c r="FA22" s="442">
        <v>589</v>
      </c>
      <c r="FB22" s="442">
        <v>559</v>
      </c>
      <c r="FC22" s="442">
        <v>557</v>
      </c>
      <c r="FD22" s="442">
        <v>576</v>
      </c>
      <c r="FE22" s="442">
        <v>573</v>
      </c>
      <c r="FF22" s="442">
        <v>596</v>
      </c>
      <c r="FG22" s="442">
        <v>571</v>
      </c>
      <c r="FH22" s="442">
        <v>554</v>
      </c>
      <c r="FI22" s="442">
        <v>538</v>
      </c>
      <c r="FJ22" s="442">
        <v>538</v>
      </c>
      <c r="FK22" s="442">
        <v>569</v>
      </c>
      <c r="FL22" s="442">
        <v>565</v>
      </c>
      <c r="FM22" s="442">
        <v>544</v>
      </c>
      <c r="FN22" s="442">
        <v>506</v>
      </c>
      <c r="FO22" s="442">
        <v>493</v>
      </c>
      <c r="FP22" s="442">
        <v>503</v>
      </c>
      <c r="FQ22" s="442">
        <v>485</v>
      </c>
      <c r="FR22" s="442">
        <v>501</v>
      </c>
      <c r="FS22" s="442">
        <v>499</v>
      </c>
      <c r="FT22" s="442">
        <v>469</v>
      </c>
      <c r="FU22" s="442">
        <v>484</v>
      </c>
      <c r="FV22" s="442">
        <v>477</v>
      </c>
      <c r="FW22" s="442">
        <v>474</v>
      </c>
      <c r="FX22" s="442">
        <v>485</v>
      </c>
      <c r="FY22" s="442">
        <v>449</v>
      </c>
      <c r="FZ22" s="442">
        <v>426</v>
      </c>
      <c r="GA22" s="442">
        <v>447</v>
      </c>
      <c r="GB22" s="442">
        <v>453</v>
      </c>
      <c r="GC22" s="442">
        <v>411</v>
      </c>
      <c r="GD22" s="442">
        <v>429</v>
      </c>
      <c r="GE22" s="442">
        <v>427</v>
      </c>
      <c r="GF22" s="442">
        <v>406</v>
      </c>
      <c r="GG22" s="442">
        <v>423</v>
      </c>
      <c r="GH22" s="442">
        <v>423</v>
      </c>
      <c r="GI22" s="442">
        <v>413</v>
      </c>
      <c r="GJ22" s="442">
        <v>438</v>
      </c>
      <c r="GK22" s="431">
        <v>331</v>
      </c>
    </row>
    <row r="23" spans="1:193">
      <c r="A23" s="231" t="s">
        <v>246</v>
      </c>
      <c r="B23" s="348">
        <v>215</v>
      </c>
      <c r="C23" s="348">
        <v>227</v>
      </c>
      <c r="D23" s="348">
        <v>293</v>
      </c>
      <c r="E23" s="348">
        <v>231</v>
      </c>
      <c r="F23" s="348">
        <v>245</v>
      </c>
      <c r="G23" s="348">
        <v>302</v>
      </c>
      <c r="H23" s="348">
        <v>281</v>
      </c>
      <c r="I23" s="348">
        <v>309</v>
      </c>
      <c r="J23" s="348">
        <v>382</v>
      </c>
      <c r="K23" s="348">
        <v>325</v>
      </c>
      <c r="L23" s="348">
        <v>330</v>
      </c>
      <c r="M23" s="348">
        <v>336</v>
      </c>
      <c r="N23" s="348">
        <v>272</v>
      </c>
      <c r="O23" s="348">
        <v>341</v>
      </c>
      <c r="P23" s="348">
        <v>403</v>
      </c>
      <c r="Q23" s="348">
        <v>352</v>
      </c>
      <c r="R23" s="348">
        <v>758</v>
      </c>
      <c r="S23" s="348">
        <v>429</v>
      </c>
      <c r="T23" s="348">
        <v>345</v>
      </c>
      <c r="U23" s="348">
        <v>334</v>
      </c>
      <c r="V23" s="348">
        <v>384</v>
      </c>
      <c r="W23" s="348">
        <v>361</v>
      </c>
      <c r="X23" s="348">
        <v>324</v>
      </c>
      <c r="Y23" s="348">
        <v>323</v>
      </c>
      <c r="Z23" s="348">
        <v>260</v>
      </c>
      <c r="AA23" s="348">
        <v>304</v>
      </c>
      <c r="AB23" s="348">
        <v>362</v>
      </c>
      <c r="AC23" s="348">
        <v>297</v>
      </c>
      <c r="AD23" s="348">
        <v>313</v>
      </c>
      <c r="AE23" s="348">
        <v>356</v>
      </c>
      <c r="AF23" s="348">
        <v>268</v>
      </c>
      <c r="AG23" s="348">
        <v>279</v>
      </c>
      <c r="AH23" s="348">
        <v>337</v>
      </c>
      <c r="AI23" s="348">
        <v>309</v>
      </c>
      <c r="AJ23" s="348">
        <v>266</v>
      </c>
      <c r="AK23" s="348">
        <v>322</v>
      </c>
      <c r="AL23" s="348">
        <v>248</v>
      </c>
      <c r="AM23" s="348">
        <v>266</v>
      </c>
      <c r="AN23" s="348">
        <v>322</v>
      </c>
      <c r="AO23" s="348">
        <v>268</v>
      </c>
      <c r="AP23" s="348">
        <v>308</v>
      </c>
      <c r="AQ23" s="348">
        <v>357</v>
      </c>
      <c r="AR23" s="348">
        <v>336</v>
      </c>
      <c r="AS23" s="348">
        <v>334</v>
      </c>
      <c r="AT23" s="348">
        <v>333</v>
      </c>
      <c r="AU23" s="348">
        <v>284</v>
      </c>
      <c r="AV23" s="348">
        <v>293</v>
      </c>
      <c r="AW23" s="348">
        <v>331</v>
      </c>
      <c r="AX23" s="348">
        <v>274</v>
      </c>
      <c r="AY23" s="348">
        <v>306</v>
      </c>
      <c r="AZ23" s="348">
        <v>358</v>
      </c>
      <c r="BA23" s="348">
        <v>310</v>
      </c>
      <c r="BB23" s="348">
        <v>362</v>
      </c>
      <c r="BC23" s="348">
        <v>364</v>
      </c>
      <c r="BD23" s="348">
        <v>319</v>
      </c>
      <c r="BE23" s="348">
        <v>313</v>
      </c>
      <c r="BF23" s="348">
        <v>358</v>
      </c>
      <c r="BG23" s="348">
        <v>350</v>
      </c>
      <c r="BH23" s="348">
        <v>349</v>
      </c>
      <c r="BI23" s="348">
        <v>339</v>
      </c>
      <c r="BJ23" s="348">
        <v>263</v>
      </c>
      <c r="BK23" s="348">
        <v>287</v>
      </c>
      <c r="BL23" s="348">
        <v>348</v>
      </c>
      <c r="BM23" s="348">
        <v>297</v>
      </c>
      <c r="BN23" s="348">
        <v>264</v>
      </c>
      <c r="BO23" s="348">
        <v>336</v>
      </c>
      <c r="BP23" s="348">
        <v>246</v>
      </c>
      <c r="BQ23" s="348">
        <v>249</v>
      </c>
      <c r="BR23" s="348">
        <v>267</v>
      </c>
      <c r="BS23" s="348">
        <v>223</v>
      </c>
      <c r="BT23" s="348">
        <v>233</v>
      </c>
      <c r="BU23" s="348">
        <v>269</v>
      </c>
      <c r="BV23" s="348">
        <v>234</v>
      </c>
      <c r="BW23" s="348">
        <v>238</v>
      </c>
      <c r="BX23" s="348">
        <v>207</v>
      </c>
      <c r="BY23" s="348">
        <v>220</v>
      </c>
      <c r="BZ23" s="348">
        <v>227</v>
      </c>
      <c r="CA23" s="348">
        <v>299</v>
      </c>
      <c r="CB23" s="348">
        <v>251</v>
      </c>
      <c r="CC23" s="348">
        <v>209</v>
      </c>
      <c r="CD23" s="348">
        <v>327</v>
      </c>
      <c r="CE23" s="348">
        <v>275</v>
      </c>
      <c r="CF23" s="441">
        <v>291</v>
      </c>
      <c r="CG23" s="441">
        <v>298</v>
      </c>
      <c r="CH23" s="441">
        <v>240</v>
      </c>
      <c r="CI23" s="441">
        <v>257</v>
      </c>
      <c r="CJ23" s="441">
        <v>323</v>
      </c>
      <c r="CK23" s="441">
        <v>257</v>
      </c>
      <c r="CL23" s="441">
        <v>271</v>
      </c>
      <c r="CM23" s="441">
        <v>330</v>
      </c>
      <c r="CN23" s="441">
        <v>275</v>
      </c>
      <c r="CO23" s="441">
        <v>285</v>
      </c>
      <c r="CP23" s="441">
        <v>342</v>
      </c>
      <c r="CQ23" s="441">
        <v>280</v>
      </c>
      <c r="CR23" s="441">
        <v>279</v>
      </c>
      <c r="CS23" s="441">
        <v>248</v>
      </c>
      <c r="CT23" s="441">
        <v>156</v>
      </c>
      <c r="CU23" s="441">
        <v>176</v>
      </c>
      <c r="CV23" s="441">
        <v>213</v>
      </c>
      <c r="CW23" s="441">
        <v>177</v>
      </c>
      <c r="CX23" s="441">
        <v>170</v>
      </c>
      <c r="CY23" s="441">
        <v>180</v>
      </c>
      <c r="CZ23" s="441">
        <v>139</v>
      </c>
      <c r="DA23" s="441">
        <v>123</v>
      </c>
      <c r="DB23" s="441">
        <v>162</v>
      </c>
      <c r="DC23" s="441">
        <v>134</v>
      </c>
      <c r="DD23" s="441">
        <v>146</v>
      </c>
      <c r="DE23" s="441">
        <v>167</v>
      </c>
      <c r="DF23" s="441">
        <v>139</v>
      </c>
      <c r="DG23" s="441">
        <v>163</v>
      </c>
      <c r="DH23" s="441">
        <v>188</v>
      </c>
      <c r="DI23" s="441">
        <v>157</v>
      </c>
      <c r="DJ23" s="441">
        <v>175</v>
      </c>
      <c r="DK23" s="441">
        <v>225</v>
      </c>
      <c r="DL23" s="441">
        <v>200</v>
      </c>
      <c r="DM23" s="441">
        <v>228</v>
      </c>
      <c r="DN23" s="441">
        <v>232</v>
      </c>
      <c r="DO23" s="441">
        <v>216</v>
      </c>
      <c r="DP23" s="441">
        <v>195</v>
      </c>
      <c r="DQ23" s="441">
        <v>230</v>
      </c>
      <c r="DR23" s="441">
        <v>200</v>
      </c>
      <c r="DS23" s="441">
        <v>225</v>
      </c>
      <c r="DT23" s="441">
        <v>250</v>
      </c>
      <c r="DU23" s="441">
        <v>233</v>
      </c>
      <c r="DV23" s="441">
        <v>278</v>
      </c>
      <c r="DW23" s="441">
        <v>289</v>
      </c>
      <c r="DX23" s="441">
        <v>323</v>
      </c>
      <c r="DY23" s="441">
        <v>306</v>
      </c>
      <c r="DZ23" s="441">
        <v>350</v>
      </c>
      <c r="EA23" s="441">
        <v>343</v>
      </c>
      <c r="EB23" s="441">
        <v>354</v>
      </c>
      <c r="EC23" s="441">
        <v>364</v>
      </c>
      <c r="ED23" s="441">
        <v>356</v>
      </c>
      <c r="EE23" s="441">
        <v>350</v>
      </c>
      <c r="EF23" s="441">
        <v>374</v>
      </c>
      <c r="EG23" s="441">
        <v>341</v>
      </c>
      <c r="EH23" s="441">
        <v>336</v>
      </c>
      <c r="EI23" s="441">
        <v>353</v>
      </c>
      <c r="EJ23" s="441">
        <v>341</v>
      </c>
      <c r="EK23" s="441">
        <v>283</v>
      </c>
      <c r="EL23" s="441">
        <v>357</v>
      </c>
      <c r="EM23" s="441">
        <v>318</v>
      </c>
      <c r="EN23" s="441">
        <v>315</v>
      </c>
      <c r="EO23" s="441">
        <v>320</v>
      </c>
      <c r="EP23" s="441">
        <v>317</v>
      </c>
      <c r="EQ23" s="441">
        <v>322</v>
      </c>
      <c r="ER23" s="441">
        <v>364</v>
      </c>
      <c r="ES23" s="441">
        <v>273</v>
      </c>
      <c r="ET23" s="441">
        <v>248</v>
      </c>
      <c r="EU23" s="441">
        <v>277</v>
      </c>
      <c r="EV23" s="441">
        <v>265</v>
      </c>
      <c r="EW23" s="441">
        <v>254</v>
      </c>
      <c r="EX23" s="441">
        <v>238</v>
      </c>
      <c r="EY23" s="441">
        <v>230</v>
      </c>
      <c r="EZ23" s="441">
        <v>225</v>
      </c>
      <c r="FA23" s="441">
        <v>218</v>
      </c>
      <c r="FB23" s="441">
        <v>231</v>
      </c>
      <c r="FC23" s="441">
        <v>238</v>
      </c>
      <c r="FD23" s="441">
        <v>229</v>
      </c>
      <c r="FE23" s="441">
        <v>229</v>
      </c>
      <c r="FF23" s="441">
        <v>247</v>
      </c>
      <c r="FG23" s="441">
        <v>235</v>
      </c>
      <c r="FH23" s="441">
        <v>245</v>
      </c>
      <c r="FI23" s="441">
        <v>241</v>
      </c>
      <c r="FJ23" s="441">
        <v>239</v>
      </c>
      <c r="FK23" s="441">
        <v>257</v>
      </c>
      <c r="FL23" s="441">
        <v>235</v>
      </c>
      <c r="FM23" s="441">
        <v>232</v>
      </c>
      <c r="FN23" s="441">
        <v>235</v>
      </c>
      <c r="FO23" s="441">
        <v>255</v>
      </c>
      <c r="FP23" s="441">
        <v>269</v>
      </c>
      <c r="FQ23" s="441">
        <v>243</v>
      </c>
      <c r="FR23" s="441">
        <v>251</v>
      </c>
      <c r="FS23" s="441">
        <v>237</v>
      </c>
      <c r="FT23" s="441">
        <v>241</v>
      </c>
      <c r="FU23" s="441">
        <v>269</v>
      </c>
      <c r="FV23" s="441">
        <v>253</v>
      </c>
      <c r="FW23" s="441">
        <v>245</v>
      </c>
      <c r="FX23" s="441">
        <v>227</v>
      </c>
      <c r="FY23" s="441">
        <v>230</v>
      </c>
      <c r="FZ23" s="441">
        <v>247</v>
      </c>
      <c r="GA23" s="441">
        <v>332</v>
      </c>
      <c r="GB23" s="441">
        <v>396</v>
      </c>
      <c r="GC23" s="441">
        <v>396</v>
      </c>
      <c r="GD23" s="441">
        <v>396</v>
      </c>
      <c r="GE23" s="441">
        <v>404</v>
      </c>
      <c r="GF23" s="441">
        <v>288</v>
      </c>
      <c r="GG23" s="441">
        <v>310</v>
      </c>
      <c r="GH23" s="441">
        <v>296</v>
      </c>
      <c r="GI23" s="441">
        <v>317</v>
      </c>
      <c r="GJ23" s="441">
        <v>416</v>
      </c>
      <c r="GK23" s="430">
        <v>366</v>
      </c>
    </row>
    <row r="24" spans="1:193" ht="15.75" thickBot="1">
      <c r="A24" s="232" t="s">
        <v>103</v>
      </c>
      <c r="B24" s="161">
        <v>923</v>
      </c>
      <c r="C24" s="435">
        <v>940</v>
      </c>
      <c r="D24" s="435">
        <v>1003</v>
      </c>
      <c r="E24" s="435">
        <v>947</v>
      </c>
      <c r="F24" s="435">
        <v>1016</v>
      </c>
      <c r="G24" s="435">
        <v>981</v>
      </c>
      <c r="H24" s="435">
        <v>1015</v>
      </c>
      <c r="I24" s="435">
        <v>1052</v>
      </c>
      <c r="J24" s="435">
        <v>1013</v>
      </c>
      <c r="K24" s="435">
        <v>1045</v>
      </c>
      <c r="L24" s="435">
        <v>1002</v>
      </c>
      <c r="M24" s="435">
        <v>887</v>
      </c>
      <c r="N24" s="435">
        <v>908</v>
      </c>
      <c r="O24" s="435">
        <v>865</v>
      </c>
      <c r="P24" s="435">
        <v>959</v>
      </c>
      <c r="Q24" s="435">
        <v>952</v>
      </c>
      <c r="R24" s="435">
        <v>888</v>
      </c>
      <c r="S24" s="435">
        <v>928</v>
      </c>
      <c r="T24" s="435">
        <v>1076</v>
      </c>
      <c r="U24" s="435">
        <v>1023</v>
      </c>
      <c r="V24" s="435">
        <v>988</v>
      </c>
      <c r="W24" s="435">
        <v>1054</v>
      </c>
      <c r="X24" s="435">
        <v>1067</v>
      </c>
      <c r="Y24" s="435">
        <v>899</v>
      </c>
      <c r="Z24" s="435">
        <v>848</v>
      </c>
      <c r="AA24" s="435">
        <v>874</v>
      </c>
      <c r="AB24" s="435">
        <v>986</v>
      </c>
      <c r="AC24" s="435">
        <v>935</v>
      </c>
      <c r="AD24" s="435">
        <v>919</v>
      </c>
      <c r="AE24" s="435">
        <v>917</v>
      </c>
      <c r="AF24" s="435">
        <v>1011</v>
      </c>
      <c r="AG24" s="435">
        <v>921</v>
      </c>
      <c r="AH24" s="435">
        <v>931</v>
      </c>
      <c r="AI24" s="435">
        <v>1001</v>
      </c>
      <c r="AJ24" s="435">
        <v>946</v>
      </c>
      <c r="AK24" s="435">
        <v>942</v>
      </c>
      <c r="AL24" s="435">
        <v>851</v>
      </c>
      <c r="AM24" s="435">
        <v>951</v>
      </c>
      <c r="AN24" s="435">
        <v>1028</v>
      </c>
      <c r="AO24" s="435">
        <v>959</v>
      </c>
      <c r="AP24" s="435">
        <v>996</v>
      </c>
      <c r="AQ24" s="435">
        <v>1086</v>
      </c>
      <c r="AR24" s="435">
        <v>1012</v>
      </c>
      <c r="AS24" s="435">
        <v>1041</v>
      </c>
      <c r="AT24" s="435">
        <v>1048</v>
      </c>
      <c r="AU24" s="435">
        <v>1071</v>
      </c>
      <c r="AV24" s="435">
        <v>1068</v>
      </c>
      <c r="AW24" s="435">
        <v>1024</v>
      </c>
      <c r="AX24" s="435">
        <v>959</v>
      </c>
      <c r="AY24" s="435">
        <v>1021</v>
      </c>
      <c r="AZ24" s="435">
        <v>1070</v>
      </c>
      <c r="BA24" s="435">
        <v>1060</v>
      </c>
      <c r="BB24" s="435">
        <v>1091</v>
      </c>
      <c r="BC24" s="435">
        <v>1058</v>
      </c>
      <c r="BD24" s="435">
        <v>1073</v>
      </c>
      <c r="BE24" s="435">
        <v>1166</v>
      </c>
      <c r="BF24" s="435">
        <v>1162</v>
      </c>
      <c r="BG24" s="435">
        <v>1341</v>
      </c>
      <c r="BH24" s="435">
        <v>1236</v>
      </c>
      <c r="BI24" s="435">
        <v>1126</v>
      </c>
      <c r="BJ24" s="435">
        <v>1096</v>
      </c>
      <c r="BK24" s="435">
        <v>1054</v>
      </c>
      <c r="BL24" s="435">
        <v>1176</v>
      </c>
      <c r="BM24" s="435">
        <v>1194</v>
      </c>
      <c r="BN24" s="435">
        <v>1182</v>
      </c>
      <c r="BO24" s="435">
        <v>1187</v>
      </c>
      <c r="BP24" s="435">
        <v>1127</v>
      </c>
      <c r="BQ24" s="435">
        <v>1235</v>
      </c>
      <c r="BR24" s="435">
        <v>1111</v>
      </c>
      <c r="BS24" s="435">
        <v>1151</v>
      </c>
      <c r="BT24" s="435">
        <v>1130</v>
      </c>
      <c r="BU24" s="435">
        <v>1076</v>
      </c>
      <c r="BV24" s="435">
        <v>1129</v>
      </c>
      <c r="BW24" s="435">
        <v>1115</v>
      </c>
      <c r="BX24" s="435">
        <v>1149</v>
      </c>
      <c r="BY24" s="435">
        <v>1145</v>
      </c>
      <c r="BZ24" s="435">
        <v>1204</v>
      </c>
      <c r="CA24" s="435">
        <v>1114</v>
      </c>
      <c r="CB24" s="435">
        <v>1176</v>
      </c>
      <c r="CC24" s="435">
        <v>1285</v>
      </c>
      <c r="CD24" s="435">
        <v>1124</v>
      </c>
      <c r="CE24" s="435">
        <v>1209</v>
      </c>
      <c r="CF24" s="435">
        <v>1176</v>
      </c>
      <c r="CG24" s="435">
        <v>1149</v>
      </c>
      <c r="CH24" s="435">
        <v>1201</v>
      </c>
      <c r="CI24" s="435">
        <v>1189</v>
      </c>
      <c r="CJ24" s="435">
        <v>1187</v>
      </c>
      <c r="CK24" s="435">
        <v>1279</v>
      </c>
      <c r="CL24" s="435">
        <v>1308</v>
      </c>
      <c r="CM24" s="435">
        <v>1238</v>
      </c>
      <c r="CN24" s="435">
        <v>1451</v>
      </c>
      <c r="CO24" s="435">
        <v>1489</v>
      </c>
      <c r="CP24" s="435">
        <v>1367</v>
      </c>
      <c r="CQ24" s="435">
        <v>1379</v>
      </c>
      <c r="CR24" s="435">
        <v>1326</v>
      </c>
      <c r="CS24" s="435">
        <v>1263</v>
      </c>
      <c r="CT24" s="435">
        <v>1059</v>
      </c>
      <c r="CU24" s="435">
        <v>1134</v>
      </c>
      <c r="CV24" s="435">
        <v>1285</v>
      </c>
      <c r="CW24" s="435">
        <v>1194</v>
      </c>
      <c r="CX24" s="435">
        <v>1228</v>
      </c>
      <c r="CY24" s="435">
        <v>1240</v>
      </c>
      <c r="CZ24" s="435">
        <v>1349</v>
      </c>
      <c r="DA24" s="435">
        <v>1319</v>
      </c>
      <c r="DB24" s="435">
        <v>1256</v>
      </c>
      <c r="DC24" s="435">
        <v>1301</v>
      </c>
      <c r="DD24" s="435">
        <v>1271</v>
      </c>
      <c r="DE24" s="435">
        <v>1322</v>
      </c>
      <c r="DF24" s="435">
        <v>1220</v>
      </c>
      <c r="DG24" s="435">
        <v>1209</v>
      </c>
      <c r="DH24" s="435">
        <v>1313</v>
      </c>
      <c r="DI24" s="435">
        <v>1241</v>
      </c>
      <c r="DJ24" s="435">
        <v>1309</v>
      </c>
      <c r="DK24" s="435">
        <v>1343</v>
      </c>
      <c r="DL24" s="435">
        <v>1299</v>
      </c>
      <c r="DM24" s="435">
        <v>1476</v>
      </c>
      <c r="DN24" s="435">
        <v>1363</v>
      </c>
      <c r="DO24" s="435">
        <v>1394</v>
      </c>
      <c r="DP24" s="435">
        <v>1387</v>
      </c>
      <c r="DQ24" s="435">
        <v>1440</v>
      </c>
      <c r="DR24" s="435">
        <v>1391</v>
      </c>
      <c r="DS24" s="435">
        <v>1351</v>
      </c>
      <c r="DT24" s="435">
        <v>1536</v>
      </c>
      <c r="DU24" s="435">
        <v>1397</v>
      </c>
      <c r="DV24" s="435">
        <v>1504</v>
      </c>
      <c r="DW24" s="435">
        <v>1559</v>
      </c>
      <c r="DX24" s="435">
        <v>1577</v>
      </c>
      <c r="DY24" s="435">
        <v>1708</v>
      </c>
      <c r="DZ24" s="435">
        <v>1626</v>
      </c>
      <c r="EA24" s="435">
        <v>1668</v>
      </c>
      <c r="EB24" s="435">
        <v>1671</v>
      </c>
      <c r="EC24" s="435">
        <v>1621</v>
      </c>
      <c r="ED24" s="435">
        <v>1641</v>
      </c>
      <c r="EE24" s="435">
        <v>1648</v>
      </c>
      <c r="EF24" s="435">
        <v>1834</v>
      </c>
      <c r="EG24" s="435">
        <v>1686</v>
      </c>
      <c r="EH24" s="435">
        <v>1878</v>
      </c>
      <c r="EI24" s="435">
        <v>1737</v>
      </c>
      <c r="EJ24" s="435">
        <v>1805</v>
      </c>
      <c r="EK24" s="435">
        <v>1841</v>
      </c>
      <c r="EL24" s="435">
        <v>1793</v>
      </c>
      <c r="EM24" s="435">
        <v>1905</v>
      </c>
      <c r="EN24" s="435">
        <v>1681</v>
      </c>
      <c r="EO24" s="435">
        <v>1554</v>
      </c>
      <c r="EP24" s="435">
        <v>1643</v>
      </c>
      <c r="EQ24" s="435">
        <v>1549</v>
      </c>
      <c r="ER24" s="435">
        <v>1669</v>
      </c>
      <c r="ES24" s="435">
        <v>1638</v>
      </c>
      <c r="ET24" s="435">
        <v>1842</v>
      </c>
      <c r="EU24" s="435">
        <v>1676</v>
      </c>
      <c r="EV24" s="435">
        <v>1745</v>
      </c>
      <c r="EW24" s="435">
        <v>1733</v>
      </c>
      <c r="EX24" s="435">
        <v>1684</v>
      </c>
      <c r="EY24" s="435">
        <v>1819</v>
      </c>
      <c r="EZ24" s="435">
        <v>1697</v>
      </c>
      <c r="FA24" s="435">
        <v>1632</v>
      </c>
      <c r="FB24" s="435">
        <v>1634</v>
      </c>
      <c r="FC24" s="435">
        <v>1549</v>
      </c>
      <c r="FD24" s="435">
        <v>1505</v>
      </c>
      <c r="FE24" s="435">
        <v>1496</v>
      </c>
      <c r="FF24" s="435">
        <v>1515</v>
      </c>
      <c r="FG24" s="435">
        <v>1568</v>
      </c>
      <c r="FH24" s="435">
        <v>1578</v>
      </c>
      <c r="FI24" s="435">
        <v>1485</v>
      </c>
      <c r="FJ24" s="435">
        <v>1559</v>
      </c>
      <c r="FK24" s="435">
        <v>1557</v>
      </c>
      <c r="FL24" s="435">
        <v>1538</v>
      </c>
      <c r="FM24" s="435">
        <v>1394</v>
      </c>
      <c r="FN24" s="435">
        <v>1293</v>
      </c>
      <c r="FO24" s="435">
        <v>1384</v>
      </c>
      <c r="FP24" s="435">
        <v>1473</v>
      </c>
      <c r="FQ24" s="435">
        <v>1379</v>
      </c>
      <c r="FR24" s="435">
        <v>1425</v>
      </c>
      <c r="FS24" s="435">
        <v>1523</v>
      </c>
      <c r="FT24" s="435">
        <v>1387</v>
      </c>
      <c r="FU24" s="435">
        <v>1422</v>
      </c>
      <c r="FV24" s="435">
        <v>1393</v>
      </c>
      <c r="FW24" s="435">
        <v>1366</v>
      </c>
      <c r="FX24" s="435">
        <v>1508</v>
      </c>
      <c r="FY24" s="435">
        <v>1336</v>
      </c>
      <c r="FZ24" s="435">
        <v>1261</v>
      </c>
      <c r="GA24" s="435">
        <v>1178</v>
      </c>
      <c r="GB24" s="435">
        <v>1132</v>
      </c>
      <c r="GC24" s="435">
        <v>1018</v>
      </c>
      <c r="GD24" s="435">
        <v>1148</v>
      </c>
      <c r="GE24" s="435">
        <v>1124</v>
      </c>
      <c r="GF24" s="435">
        <v>1054</v>
      </c>
      <c r="GG24" s="435">
        <v>1169</v>
      </c>
      <c r="GH24" s="435">
        <v>1025</v>
      </c>
      <c r="GI24" s="435">
        <v>1087</v>
      </c>
      <c r="GJ24" s="435">
        <v>1069</v>
      </c>
      <c r="GK24" s="432">
        <v>995</v>
      </c>
    </row>
    <row r="25" spans="1:193" ht="16.5" thickTop="1" thickBot="1">
      <c r="A25" s="162" t="s">
        <v>237</v>
      </c>
      <c r="B25" s="436">
        <v>22705</v>
      </c>
      <c r="C25" s="436">
        <v>22216</v>
      </c>
      <c r="D25" s="436">
        <v>24764</v>
      </c>
      <c r="E25" s="436">
        <v>22553</v>
      </c>
      <c r="F25" s="436">
        <v>24417</v>
      </c>
      <c r="G25" s="436">
        <v>23467</v>
      </c>
      <c r="H25" s="436">
        <v>24189</v>
      </c>
      <c r="I25" s="436">
        <v>24332</v>
      </c>
      <c r="J25" s="436">
        <v>22539</v>
      </c>
      <c r="K25" s="436">
        <v>23261</v>
      </c>
      <c r="L25" s="436">
        <v>23079</v>
      </c>
      <c r="M25" s="436">
        <v>22652</v>
      </c>
      <c r="N25" s="436">
        <v>22518</v>
      </c>
      <c r="O25" s="436">
        <v>20828</v>
      </c>
      <c r="P25" s="436">
        <v>22790</v>
      </c>
      <c r="Q25" s="436">
        <v>22234</v>
      </c>
      <c r="R25" s="436">
        <v>22933</v>
      </c>
      <c r="S25" s="436">
        <v>22438</v>
      </c>
      <c r="T25" s="436">
        <v>23379</v>
      </c>
      <c r="U25" s="436">
        <v>22007</v>
      </c>
      <c r="V25" s="436">
        <v>22404</v>
      </c>
      <c r="W25" s="436">
        <v>22653</v>
      </c>
      <c r="X25" s="436">
        <v>22019</v>
      </c>
      <c r="Y25" s="436">
        <v>22325</v>
      </c>
      <c r="Z25" s="436">
        <v>21938</v>
      </c>
      <c r="AA25" s="436">
        <v>21698</v>
      </c>
      <c r="AB25" s="436">
        <v>23081</v>
      </c>
      <c r="AC25" s="436">
        <v>22428</v>
      </c>
      <c r="AD25" s="436">
        <v>23073</v>
      </c>
      <c r="AE25" s="436">
        <v>22951</v>
      </c>
      <c r="AF25" s="436">
        <v>24416</v>
      </c>
      <c r="AG25" s="436">
        <v>23185</v>
      </c>
      <c r="AH25" s="436">
        <v>23047</v>
      </c>
      <c r="AI25" s="436">
        <v>23524</v>
      </c>
      <c r="AJ25" s="436">
        <v>22571</v>
      </c>
      <c r="AK25" s="436">
        <v>23289</v>
      </c>
      <c r="AL25" s="436">
        <v>22429</v>
      </c>
      <c r="AM25" s="436">
        <v>22608</v>
      </c>
      <c r="AN25" s="436">
        <v>23974</v>
      </c>
      <c r="AO25" s="436">
        <v>22606</v>
      </c>
      <c r="AP25" s="436">
        <v>23576</v>
      </c>
      <c r="AQ25" s="436">
        <v>25143</v>
      </c>
      <c r="AR25" s="436">
        <v>24084</v>
      </c>
      <c r="AS25" s="436">
        <v>24494</v>
      </c>
      <c r="AT25" s="436">
        <v>24175</v>
      </c>
      <c r="AU25" s="436">
        <v>23989</v>
      </c>
      <c r="AV25" s="436">
        <v>24600</v>
      </c>
      <c r="AW25" s="436">
        <v>23979</v>
      </c>
      <c r="AX25" s="436">
        <v>23090</v>
      </c>
      <c r="AY25" s="436">
        <v>23192</v>
      </c>
      <c r="AZ25" s="436">
        <v>24254</v>
      </c>
      <c r="BA25" s="436">
        <v>23452</v>
      </c>
      <c r="BB25" s="436">
        <v>24825</v>
      </c>
      <c r="BC25" s="436">
        <v>25406</v>
      </c>
      <c r="BD25" s="436">
        <v>25483</v>
      </c>
      <c r="BE25" s="436">
        <v>25200</v>
      </c>
      <c r="BF25" s="436">
        <v>25408</v>
      </c>
      <c r="BG25" s="436">
        <v>25981</v>
      </c>
      <c r="BH25" s="436">
        <v>26157</v>
      </c>
      <c r="BI25" s="436">
        <v>25687</v>
      </c>
      <c r="BJ25" s="436">
        <v>25561</v>
      </c>
      <c r="BK25" s="436">
        <v>25525</v>
      </c>
      <c r="BL25" s="436">
        <v>27415</v>
      </c>
      <c r="BM25" s="436">
        <v>25914</v>
      </c>
      <c r="BN25" s="436">
        <v>28275</v>
      </c>
      <c r="BO25" s="436">
        <v>28238</v>
      </c>
      <c r="BP25" s="436">
        <v>27889</v>
      </c>
      <c r="BQ25" s="436">
        <v>28886</v>
      </c>
      <c r="BR25" s="436">
        <v>27413</v>
      </c>
      <c r="BS25" s="436">
        <v>27660</v>
      </c>
      <c r="BT25" s="436">
        <v>27955</v>
      </c>
      <c r="BU25" s="436">
        <v>27263</v>
      </c>
      <c r="BV25" s="436">
        <v>27343</v>
      </c>
      <c r="BW25" s="436">
        <v>27719</v>
      </c>
      <c r="BX25" s="436">
        <v>28875</v>
      </c>
      <c r="BY25" s="436">
        <v>28214</v>
      </c>
      <c r="BZ25" s="436">
        <v>30382</v>
      </c>
      <c r="CA25" s="436">
        <v>30233</v>
      </c>
      <c r="CB25" s="436">
        <v>30616</v>
      </c>
      <c r="CC25" s="436">
        <v>31177</v>
      </c>
      <c r="CD25" s="436">
        <v>29917</v>
      </c>
      <c r="CE25" s="436">
        <v>30866</v>
      </c>
      <c r="CF25" s="436">
        <v>31929</v>
      </c>
      <c r="CG25" s="436">
        <v>30722</v>
      </c>
      <c r="CH25" s="436">
        <v>31890</v>
      </c>
      <c r="CI25" s="436">
        <v>31659</v>
      </c>
      <c r="CJ25" s="436">
        <v>32189</v>
      </c>
      <c r="CK25" s="436">
        <v>32613</v>
      </c>
      <c r="CL25" s="436">
        <v>33839</v>
      </c>
      <c r="CM25" s="436">
        <v>33330</v>
      </c>
      <c r="CN25" s="436">
        <v>34361</v>
      </c>
      <c r="CO25" s="436">
        <v>34470</v>
      </c>
      <c r="CP25" s="436">
        <v>33824</v>
      </c>
      <c r="CQ25" s="436">
        <v>35131</v>
      </c>
      <c r="CR25" s="436">
        <v>34084</v>
      </c>
      <c r="CS25" s="436">
        <v>32503</v>
      </c>
      <c r="CT25" s="436">
        <v>33015</v>
      </c>
      <c r="CU25" s="436">
        <v>32680</v>
      </c>
      <c r="CV25" s="436">
        <v>34452</v>
      </c>
      <c r="CW25" s="436">
        <v>33455</v>
      </c>
      <c r="CX25" s="436">
        <v>34280</v>
      </c>
      <c r="CY25" s="436">
        <v>34252</v>
      </c>
      <c r="CZ25" s="436">
        <v>35332</v>
      </c>
      <c r="DA25" s="436">
        <v>34659</v>
      </c>
      <c r="DB25" s="436">
        <v>34732</v>
      </c>
      <c r="DC25" s="436">
        <v>35258</v>
      </c>
      <c r="DD25" s="436">
        <v>34636</v>
      </c>
      <c r="DE25" s="436">
        <v>34648</v>
      </c>
      <c r="DF25" s="436">
        <v>33686</v>
      </c>
      <c r="DG25" s="436">
        <v>33771</v>
      </c>
      <c r="DH25" s="436">
        <v>36228</v>
      </c>
      <c r="DI25" s="436">
        <v>35215</v>
      </c>
      <c r="DJ25" s="436">
        <v>35344</v>
      </c>
      <c r="DK25" s="436">
        <v>36612</v>
      </c>
      <c r="DL25" s="436">
        <v>37391</v>
      </c>
      <c r="DM25" s="436">
        <v>38096</v>
      </c>
      <c r="DN25" s="436">
        <v>36936</v>
      </c>
      <c r="DO25" s="436">
        <v>37575</v>
      </c>
      <c r="DP25" s="436">
        <v>38475</v>
      </c>
      <c r="DQ25" s="436">
        <v>37114</v>
      </c>
      <c r="DR25" s="436">
        <v>36786</v>
      </c>
      <c r="DS25" s="436">
        <v>36242</v>
      </c>
      <c r="DT25" s="436">
        <v>39407</v>
      </c>
      <c r="DU25" s="436">
        <v>37934</v>
      </c>
      <c r="DV25" s="436">
        <v>40614</v>
      </c>
      <c r="DW25" s="436">
        <v>39888</v>
      </c>
      <c r="DX25" s="436">
        <v>40702</v>
      </c>
      <c r="DY25" s="436">
        <v>43380</v>
      </c>
      <c r="DZ25" s="436">
        <v>41897</v>
      </c>
      <c r="EA25" s="436">
        <v>42374</v>
      </c>
      <c r="EB25" s="436">
        <v>43004</v>
      </c>
      <c r="EC25" s="436">
        <v>42817</v>
      </c>
      <c r="ED25" s="436">
        <v>38692</v>
      </c>
      <c r="EE25" s="436">
        <v>39246</v>
      </c>
      <c r="EF25" s="436">
        <v>40769</v>
      </c>
      <c r="EG25" s="436">
        <v>39809</v>
      </c>
      <c r="EH25" s="436">
        <v>42897</v>
      </c>
      <c r="EI25" s="436">
        <v>41536</v>
      </c>
      <c r="EJ25" s="436">
        <v>42247</v>
      </c>
      <c r="EK25" s="436">
        <v>43635</v>
      </c>
      <c r="EL25" s="436">
        <v>42783</v>
      </c>
      <c r="EM25" s="436">
        <v>44486</v>
      </c>
      <c r="EN25" s="436">
        <v>43726</v>
      </c>
      <c r="EO25" s="436">
        <v>41627</v>
      </c>
      <c r="EP25" s="436">
        <v>43388</v>
      </c>
      <c r="EQ25" s="436">
        <v>42188</v>
      </c>
      <c r="ER25" s="436">
        <v>44737</v>
      </c>
      <c r="ES25" s="436">
        <v>44498</v>
      </c>
      <c r="ET25" s="436">
        <v>45815</v>
      </c>
      <c r="EU25" s="436">
        <v>44761</v>
      </c>
      <c r="EV25" s="436">
        <v>46378</v>
      </c>
      <c r="EW25" s="436">
        <v>46403</v>
      </c>
      <c r="EX25" s="436">
        <v>44897</v>
      </c>
      <c r="EY25" s="436">
        <v>47003</v>
      </c>
      <c r="EZ25" s="436">
        <v>46499</v>
      </c>
      <c r="FA25" s="436">
        <v>43824</v>
      </c>
      <c r="FB25" s="436">
        <v>44412</v>
      </c>
      <c r="FC25" s="436">
        <v>42593</v>
      </c>
      <c r="FD25" s="436">
        <v>44925</v>
      </c>
      <c r="FE25" s="436">
        <v>42943</v>
      </c>
      <c r="FF25" s="436">
        <v>45077</v>
      </c>
      <c r="FG25" s="436">
        <v>43957</v>
      </c>
      <c r="FH25" s="436">
        <v>45779</v>
      </c>
      <c r="FI25" s="436">
        <v>44614</v>
      </c>
      <c r="FJ25" s="436">
        <v>44328</v>
      </c>
      <c r="FK25" s="436">
        <v>45647</v>
      </c>
      <c r="FL25" s="436">
        <v>44027</v>
      </c>
      <c r="FM25" s="436">
        <v>43558</v>
      </c>
      <c r="FN25" s="436">
        <v>41578</v>
      </c>
      <c r="FO25" s="436">
        <v>40134</v>
      </c>
      <c r="FP25" s="436">
        <v>43299</v>
      </c>
      <c r="FQ25" s="436">
        <v>40725</v>
      </c>
      <c r="FR25" s="436">
        <v>41893</v>
      </c>
      <c r="FS25" s="436">
        <v>41747</v>
      </c>
      <c r="FT25" s="436">
        <v>42001</v>
      </c>
      <c r="FU25" s="436">
        <v>41456</v>
      </c>
      <c r="FV25" s="436">
        <v>40018</v>
      </c>
      <c r="FW25" s="436">
        <v>40262</v>
      </c>
      <c r="FX25" s="436">
        <v>40440</v>
      </c>
      <c r="FY25" s="436">
        <v>39814</v>
      </c>
      <c r="FZ25" s="436">
        <v>39250</v>
      </c>
      <c r="GA25" s="436">
        <v>39909</v>
      </c>
      <c r="GB25" s="436">
        <v>41040</v>
      </c>
      <c r="GC25" s="436">
        <v>39197</v>
      </c>
      <c r="GD25" s="436">
        <v>41507</v>
      </c>
      <c r="GE25" s="436">
        <v>40225</v>
      </c>
      <c r="GF25" s="436">
        <v>39797</v>
      </c>
      <c r="GG25" s="436">
        <v>41008</v>
      </c>
      <c r="GH25" s="436">
        <v>38784</v>
      </c>
      <c r="GI25" s="436">
        <v>39437</v>
      </c>
      <c r="GJ25" s="436">
        <v>40038</v>
      </c>
      <c r="GK25" s="437">
        <v>38086</v>
      </c>
    </row>
    <row r="28" spans="1:193" ht="15.75" thickBot="1">
      <c r="A28" s="357" t="s">
        <v>325</v>
      </c>
    </row>
    <row r="29" spans="1:193" ht="15.75" thickBot="1">
      <c r="A29" s="26" t="s">
        <v>177</v>
      </c>
      <c r="B29" s="230">
        <v>36892</v>
      </c>
      <c r="C29" s="230">
        <v>36923</v>
      </c>
      <c r="D29" s="230">
        <v>36951</v>
      </c>
      <c r="E29" s="230">
        <v>36982</v>
      </c>
      <c r="F29" s="230">
        <v>37012</v>
      </c>
      <c r="G29" s="230">
        <v>37043</v>
      </c>
      <c r="H29" s="230">
        <v>37073</v>
      </c>
      <c r="I29" s="230">
        <v>37104</v>
      </c>
      <c r="J29" s="230">
        <v>37135</v>
      </c>
      <c r="K29" s="230">
        <v>37165</v>
      </c>
      <c r="L29" s="230">
        <v>37196</v>
      </c>
      <c r="M29" s="230">
        <v>37226</v>
      </c>
      <c r="N29" s="230">
        <v>37257</v>
      </c>
      <c r="O29" s="230">
        <v>37288</v>
      </c>
      <c r="P29" s="230">
        <v>37316</v>
      </c>
      <c r="Q29" s="230">
        <v>37347</v>
      </c>
      <c r="R29" s="230">
        <v>37377</v>
      </c>
      <c r="S29" s="230">
        <v>37408</v>
      </c>
      <c r="T29" s="230">
        <v>37438</v>
      </c>
      <c r="U29" s="230">
        <v>37469</v>
      </c>
      <c r="V29" s="230">
        <v>37500</v>
      </c>
      <c r="W29" s="230">
        <v>37530</v>
      </c>
      <c r="X29" s="230">
        <v>37561</v>
      </c>
      <c r="Y29" s="230">
        <v>37591</v>
      </c>
      <c r="Z29" s="230">
        <v>37622</v>
      </c>
      <c r="AA29" s="230">
        <v>37653</v>
      </c>
      <c r="AB29" s="230">
        <v>37681</v>
      </c>
      <c r="AC29" s="230">
        <v>37712</v>
      </c>
      <c r="AD29" s="230">
        <v>37742</v>
      </c>
      <c r="AE29" s="230">
        <v>37773</v>
      </c>
      <c r="AF29" s="230">
        <v>37803</v>
      </c>
      <c r="AG29" s="230">
        <v>37834</v>
      </c>
      <c r="AH29" s="230">
        <v>37865</v>
      </c>
      <c r="AI29" s="230">
        <v>37895</v>
      </c>
      <c r="AJ29" s="230">
        <v>37926</v>
      </c>
      <c r="AK29" s="230">
        <v>37956</v>
      </c>
      <c r="AL29" s="230">
        <v>37987</v>
      </c>
      <c r="AM29" s="230">
        <v>38018</v>
      </c>
      <c r="AN29" s="230">
        <v>38047</v>
      </c>
      <c r="AO29" s="230">
        <v>38078</v>
      </c>
      <c r="AP29" s="230">
        <v>38108</v>
      </c>
      <c r="AQ29" s="230">
        <v>38139</v>
      </c>
      <c r="AR29" s="230">
        <v>38169</v>
      </c>
      <c r="AS29" s="230">
        <v>38200</v>
      </c>
      <c r="AT29" s="230">
        <v>38231</v>
      </c>
      <c r="AU29" s="230">
        <v>38261</v>
      </c>
      <c r="AV29" s="230">
        <v>38292</v>
      </c>
      <c r="AW29" s="230">
        <v>38322</v>
      </c>
      <c r="AX29" s="230">
        <v>38353</v>
      </c>
      <c r="AY29" s="230">
        <v>38384</v>
      </c>
      <c r="AZ29" s="230">
        <v>38412</v>
      </c>
      <c r="BA29" s="230">
        <v>38443</v>
      </c>
      <c r="BB29" s="230">
        <v>38473</v>
      </c>
      <c r="BC29" s="230">
        <v>38504</v>
      </c>
      <c r="BD29" s="230">
        <v>38534</v>
      </c>
      <c r="BE29" s="230">
        <v>38565</v>
      </c>
      <c r="BF29" s="230">
        <v>38596</v>
      </c>
      <c r="BG29" s="230">
        <v>38626</v>
      </c>
      <c r="BH29" s="230">
        <v>38657</v>
      </c>
      <c r="BI29" s="230">
        <v>38687</v>
      </c>
      <c r="BJ29" s="230">
        <v>38718</v>
      </c>
      <c r="BK29" s="230">
        <v>38749</v>
      </c>
      <c r="BL29" s="230">
        <v>38777</v>
      </c>
      <c r="BM29" s="230">
        <v>38808</v>
      </c>
      <c r="BN29" s="230">
        <v>38838</v>
      </c>
      <c r="BO29" s="230">
        <v>38869</v>
      </c>
      <c r="BP29" s="230">
        <v>38899</v>
      </c>
      <c r="BQ29" s="230">
        <v>38930</v>
      </c>
      <c r="BR29" s="230">
        <v>38961</v>
      </c>
      <c r="BS29" s="230">
        <v>38991</v>
      </c>
      <c r="BT29" s="230">
        <v>39022</v>
      </c>
      <c r="BU29" s="230">
        <v>39052</v>
      </c>
      <c r="BV29" s="230">
        <v>39083</v>
      </c>
      <c r="BW29" s="230">
        <v>39114</v>
      </c>
      <c r="BX29" s="230">
        <v>39142</v>
      </c>
      <c r="BY29" s="230">
        <v>39173</v>
      </c>
      <c r="BZ29" s="230">
        <v>39203</v>
      </c>
      <c r="CA29" s="230">
        <v>39234</v>
      </c>
      <c r="CB29" s="230">
        <v>39264</v>
      </c>
      <c r="CC29" s="230">
        <v>39295</v>
      </c>
      <c r="CD29" s="230">
        <v>39326</v>
      </c>
      <c r="CE29" s="230">
        <v>39356</v>
      </c>
      <c r="CF29" s="438">
        <v>39387</v>
      </c>
      <c r="CG29" s="438">
        <v>39417</v>
      </c>
      <c r="CH29" s="438">
        <v>39448</v>
      </c>
      <c r="CI29" s="438">
        <v>39479</v>
      </c>
      <c r="CJ29" s="438">
        <v>39508</v>
      </c>
      <c r="CK29" s="438">
        <v>39539</v>
      </c>
      <c r="CL29" s="438">
        <v>39569</v>
      </c>
      <c r="CM29" s="438">
        <v>39600</v>
      </c>
      <c r="CN29" s="438">
        <v>39630</v>
      </c>
      <c r="CO29" s="438">
        <v>39661</v>
      </c>
      <c r="CP29" s="438">
        <v>39692</v>
      </c>
      <c r="CQ29" s="438">
        <v>39722</v>
      </c>
      <c r="CR29" s="438">
        <v>39753</v>
      </c>
      <c r="CS29" s="438">
        <v>39783</v>
      </c>
      <c r="CT29" s="438">
        <v>39814</v>
      </c>
      <c r="CU29" s="438">
        <v>39845</v>
      </c>
      <c r="CV29" s="438">
        <v>39873</v>
      </c>
      <c r="CW29" s="438">
        <v>39904</v>
      </c>
      <c r="CX29" s="438">
        <v>39934</v>
      </c>
      <c r="CY29" s="438">
        <v>39965</v>
      </c>
      <c r="CZ29" s="438">
        <v>39995</v>
      </c>
      <c r="DA29" s="438">
        <v>40026</v>
      </c>
      <c r="DB29" s="438">
        <v>40057</v>
      </c>
      <c r="DC29" s="438">
        <v>40087</v>
      </c>
      <c r="DD29" s="438">
        <v>40118</v>
      </c>
      <c r="DE29" s="438">
        <v>40148</v>
      </c>
      <c r="DF29" s="438">
        <v>40179</v>
      </c>
      <c r="DG29" s="438">
        <v>40210</v>
      </c>
      <c r="DH29" s="438">
        <v>40238</v>
      </c>
      <c r="DI29" s="438">
        <v>40269</v>
      </c>
      <c r="DJ29" s="438">
        <v>40299</v>
      </c>
      <c r="DK29" s="438">
        <v>40330</v>
      </c>
      <c r="DL29" s="438">
        <v>40360</v>
      </c>
      <c r="DM29" s="438">
        <v>40391</v>
      </c>
      <c r="DN29" s="438">
        <v>40422</v>
      </c>
      <c r="DO29" s="438">
        <v>40452</v>
      </c>
      <c r="DP29" s="438">
        <v>40483</v>
      </c>
      <c r="DQ29" s="438">
        <v>40513</v>
      </c>
      <c r="DR29" s="438">
        <v>40544</v>
      </c>
      <c r="DS29" s="438">
        <v>40575</v>
      </c>
      <c r="DT29" s="438">
        <v>40603</v>
      </c>
      <c r="DU29" s="438">
        <v>40634</v>
      </c>
      <c r="DV29" s="438">
        <v>40664</v>
      </c>
      <c r="DW29" s="438">
        <v>40695</v>
      </c>
      <c r="DX29" s="438">
        <v>40725</v>
      </c>
      <c r="DY29" s="438">
        <v>40756</v>
      </c>
      <c r="DZ29" s="438">
        <v>40787</v>
      </c>
      <c r="EA29" s="438">
        <v>40817</v>
      </c>
      <c r="EB29" s="438">
        <v>40848</v>
      </c>
      <c r="EC29" s="438">
        <v>40878</v>
      </c>
      <c r="ED29" s="438">
        <v>40909</v>
      </c>
      <c r="EE29" s="438">
        <v>40940</v>
      </c>
      <c r="EF29" s="438">
        <v>40969</v>
      </c>
      <c r="EG29" s="438">
        <v>41000</v>
      </c>
      <c r="EH29" s="438">
        <v>41030</v>
      </c>
      <c r="EI29" s="438">
        <v>41061</v>
      </c>
      <c r="EJ29" s="438">
        <v>41091</v>
      </c>
      <c r="EK29" s="438">
        <v>41122</v>
      </c>
      <c r="EL29" s="438">
        <v>41153</v>
      </c>
      <c r="EM29" s="438">
        <v>41183</v>
      </c>
      <c r="EN29" s="438">
        <v>41214</v>
      </c>
      <c r="EO29" s="438">
        <v>41244</v>
      </c>
      <c r="EP29" s="438">
        <v>41275</v>
      </c>
      <c r="EQ29" s="438">
        <v>41306</v>
      </c>
      <c r="ER29" s="438">
        <v>41334</v>
      </c>
      <c r="ES29" s="438">
        <v>41365</v>
      </c>
      <c r="ET29" s="438">
        <v>41395</v>
      </c>
      <c r="EU29" s="438">
        <v>41426</v>
      </c>
      <c r="EV29" s="438">
        <v>41456</v>
      </c>
      <c r="EW29" s="438">
        <v>41487</v>
      </c>
      <c r="EX29" s="438">
        <v>41518</v>
      </c>
      <c r="EY29" s="438">
        <v>41548</v>
      </c>
      <c r="EZ29" s="438">
        <v>41579</v>
      </c>
      <c r="FA29" s="438">
        <v>41609</v>
      </c>
      <c r="FB29" s="438">
        <v>41640</v>
      </c>
      <c r="FC29" s="438">
        <v>41671</v>
      </c>
      <c r="FD29" s="438">
        <v>41699</v>
      </c>
      <c r="FE29" s="438">
        <v>41730</v>
      </c>
      <c r="FF29" s="438">
        <v>41760</v>
      </c>
      <c r="FG29" s="438">
        <v>41791</v>
      </c>
      <c r="FH29" s="438">
        <v>41821</v>
      </c>
      <c r="FI29" s="438">
        <v>41852</v>
      </c>
      <c r="FJ29" s="438">
        <v>41883</v>
      </c>
      <c r="FK29" s="438">
        <v>41913</v>
      </c>
      <c r="FL29" s="438">
        <v>41944</v>
      </c>
      <c r="FM29" s="438">
        <v>41974</v>
      </c>
      <c r="FN29" s="438">
        <v>42005</v>
      </c>
      <c r="FO29" s="438">
        <v>42036</v>
      </c>
      <c r="FP29" s="438">
        <v>42064</v>
      </c>
      <c r="FQ29" s="438">
        <v>42095</v>
      </c>
      <c r="FR29" s="438">
        <v>42125</v>
      </c>
      <c r="FS29" s="438">
        <v>42156</v>
      </c>
      <c r="FT29" s="438">
        <v>42186</v>
      </c>
      <c r="FU29" s="438">
        <v>42217</v>
      </c>
      <c r="FV29" s="438">
        <v>42248</v>
      </c>
      <c r="FW29" s="438">
        <v>42278</v>
      </c>
      <c r="FX29" s="438">
        <v>42309</v>
      </c>
      <c r="FY29" s="438">
        <v>42339</v>
      </c>
      <c r="FZ29" s="438">
        <v>42370</v>
      </c>
      <c r="GA29" s="438">
        <v>42401</v>
      </c>
      <c r="GB29" s="438">
        <v>42430</v>
      </c>
      <c r="GC29" s="438">
        <v>42461</v>
      </c>
      <c r="GD29" s="438">
        <v>42491</v>
      </c>
      <c r="GE29" s="438">
        <v>42522</v>
      </c>
      <c r="GF29" s="438">
        <v>42552</v>
      </c>
      <c r="GG29" s="438">
        <v>42583</v>
      </c>
      <c r="GH29" s="438">
        <v>42614</v>
      </c>
      <c r="GI29" s="438">
        <v>42644</v>
      </c>
      <c r="GJ29" s="438">
        <v>42675</v>
      </c>
      <c r="GK29" s="439">
        <v>42705</v>
      </c>
    </row>
    <row r="30" spans="1:193">
      <c r="A30" s="231" t="s">
        <v>337</v>
      </c>
      <c r="B30" s="348">
        <v>698</v>
      </c>
      <c r="C30" s="348">
        <v>684</v>
      </c>
      <c r="D30" s="348">
        <v>723</v>
      </c>
      <c r="E30" s="348">
        <v>692</v>
      </c>
      <c r="F30" s="348">
        <v>705</v>
      </c>
      <c r="G30" s="348">
        <v>716</v>
      </c>
      <c r="H30" s="348">
        <v>777</v>
      </c>
      <c r="I30" s="348">
        <v>744</v>
      </c>
      <c r="J30" s="348">
        <v>694</v>
      </c>
      <c r="K30" s="348">
        <v>679</v>
      </c>
      <c r="L30" s="348">
        <v>670</v>
      </c>
      <c r="M30" s="348">
        <v>595</v>
      </c>
      <c r="N30" s="348">
        <v>642</v>
      </c>
      <c r="O30" s="348">
        <v>512</v>
      </c>
      <c r="P30" s="348">
        <v>689</v>
      </c>
      <c r="Q30" s="348">
        <v>619</v>
      </c>
      <c r="R30" s="348">
        <v>705</v>
      </c>
      <c r="S30" s="348">
        <v>677</v>
      </c>
      <c r="T30" s="348">
        <v>646</v>
      </c>
      <c r="U30" s="348">
        <v>725</v>
      </c>
      <c r="V30" s="348">
        <v>725</v>
      </c>
      <c r="W30" s="348">
        <v>807</v>
      </c>
      <c r="X30" s="348">
        <v>826</v>
      </c>
      <c r="Y30" s="348">
        <v>877</v>
      </c>
      <c r="Z30" s="348">
        <v>861</v>
      </c>
      <c r="AA30" s="348">
        <v>829</v>
      </c>
      <c r="AB30" s="348">
        <v>862</v>
      </c>
      <c r="AC30" s="348">
        <v>871</v>
      </c>
      <c r="AD30" s="348">
        <v>896</v>
      </c>
      <c r="AE30" s="348">
        <v>940</v>
      </c>
      <c r="AF30" s="348">
        <v>828</v>
      </c>
      <c r="AG30" s="348">
        <v>887</v>
      </c>
      <c r="AH30" s="348">
        <v>885</v>
      </c>
      <c r="AI30" s="348">
        <v>837</v>
      </c>
      <c r="AJ30" s="348">
        <v>693</v>
      </c>
      <c r="AK30" s="348">
        <v>571</v>
      </c>
      <c r="AL30" s="348">
        <v>621</v>
      </c>
      <c r="AM30" s="348">
        <v>618</v>
      </c>
      <c r="AN30" s="348">
        <v>630</v>
      </c>
      <c r="AO30" s="348">
        <v>594</v>
      </c>
      <c r="AP30" s="348">
        <v>666</v>
      </c>
      <c r="AQ30" s="348">
        <v>675</v>
      </c>
      <c r="AR30" s="348">
        <v>732</v>
      </c>
      <c r="AS30" s="348">
        <v>924</v>
      </c>
      <c r="AT30" s="348">
        <v>863</v>
      </c>
      <c r="AU30" s="348">
        <v>951</v>
      </c>
      <c r="AV30" s="348">
        <v>989</v>
      </c>
      <c r="AW30" s="348">
        <v>841</v>
      </c>
      <c r="AX30" s="348">
        <v>816</v>
      </c>
      <c r="AY30" s="348">
        <v>880</v>
      </c>
      <c r="AZ30" s="348">
        <v>944</v>
      </c>
      <c r="BA30" s="348">
        <v>861</v>
      </c>
      <c r="BB30" s="348">
        <v>958</v>
      </c>
      <c r="BC30" s="348">
        <v>886</v>
      </c>
      <c r="BD30" s="348">
        <v>1065</v>
      </c>
      <c r="BE30" s="348">
        <v>1114</v>
      </c>
      <c r="BF30" s="348">
        <v>1085</v>
      </c>
      <c r="BG30" s="348">
        <v>1410</v>
      </c>
      <c r="BH30" s="348">
        <v>1259</v>
      </c>
      <c r="BI30" s="348">
        <v>1160</v>
      </c>
      <c r="BJ30" s="348">
        <v>1263</v>
      </c>
      <c r="BK30" s="348">
        <v>1157</v>
      </c>
      <c r="BL30" s="348">
        <v>1255</v>
      </c>
      <c r="BM30" s="348">
        <v>1168</v>
      </c>
      <c r="BN30" s="348">
        <v>1144</v>
      </c>
      <c r="BO30" s="348">
        <v>1277</v>
      </c>
      <c r="BP30" s="348">
        <v>1279</v>
      </c>
      <c r="BQ30" s="348">
        <v>1365</v>
      </c>
      <c r="BR30" s="348">
        <v>1421</v>
      </c>
      <c r="BS30" s="348">
        <v>1518</v>
      </c>
      <c r="BT30" s="348">
        <v>1628</v>
      </c>
      <c r="BU30" s="348">
        <v>1504</v>
      </c>
      <c r="BV30" s="348">
        <v>1576</v>
      </c>
      <c r="BW30" s="348">
        <v>1607</v>
      </c>
      <c r="BX30" s="348">
        <v>1759</v>
      </c>
      <c r="BY30" s="348">
        <v>1486</v>
      </c>
      <c r="BZ30" s="348">
        <v>1506</v>
      </c>
      <c r="CA30" s="348">
        <v>1338</v>
      </c>
      <c r="CB30" s="348">
        <v>1324</v>
      </c>
      <c r="CC30" s="348">
        <v>1482</v>
      </c>
      <c r="CD30" s="348">
        <v>1360</v>
      </c>
      <c r="CE30" s="348">
        <v>1519</v>
      </c>
      <c r="CF30" s="441">
        <v>1504</v>
      </c>
      <c r="CG30" s="441">
        <v>1269</v>
      </c>
      <c r="CH30" s="441">
        <v>1271</v>
      </c>
      <c r="CI30" s="441">
        <v>1371</v>
      </c>
      <c r="CJ30" s="441">
        <v>1467</v>
      </c>
      <c r="CK30" s="441">
        <v>1419</v>
      </c>
      <c r="CL30" s="441">
        <v>1480</v>
      </c>
      <c r="CM30" s="441">
        <v>1448</v>
      </c>
      <c r="CN30" s="441">
        <v>1530</v>
      </c>
      <c r="CO30" s="441">
        <v>943</v>
      </c>
      <c r="CP30" s="441">
        <v>1193</v>
      </c>
      <c r="CQ30" s="441">
        <v>1258</v>
      </c>
      <c r="CR30" s="441">
        <v>1119</v>
      </c>
      <c r="CS30" s="441">
        <v>996</v>
      </c>
      <c r="CT30" s="441">
        <v>687</v>
      </c>
      <c r="CU30" s="441">
        <v>473</v>
      </c>
      <c r="CV30" s="441">
        <v>533</v>
      </c>
      <c r="CW30" s="441">
        <v>524</v>
      </c>
      <c r="CX30" s="441">
        <v>617</v>
      </c>
      <c r="CY30" s="441">
        <v>638</v>
      </c>
      <c r="CZ30" s="441">
        <v>613</v>
      </c>
      <c r="DA30" s="441">
        <v>598</v>
      </c>
      <c r="DB30" s="441">
        <v>627</v>
      </c>
      <c r="DC30" s="441">
        <v>660</v>
      </c>
      <c r="DD30" s="441">
        <v>635</v>
      </c>
      <c r="DE30" s="441">
        <v>702</v>
      </c>
      <c r="DF30" s="441">
        <v>767</v>
      </c>
      <c r="DG30" s="441">
        <v>884</v>
      </c>
      <c r="DH30" s="441">
        <v>1062</v>
      </c>
      <c r="DI30" s="441">
        <v>1092</v>
      </c>
      <c r="DJ30" s="441">
        <v>1147</v>
      </c>
      <c r="DK30" s="441">
        <v>1101</v>
      </c>
      <c r="DL30" s="441">
        <v>1123</v>
      </c>
      <c r="DM30" s="441">
        <v>1068</v>
      </c>
      <c r="DN30" s="441">
        <v>1085</v>
      </c>
      <c r="DO30" s="441">
        <v>1033</v>
      </c>
      <c r="DP30" s="441">
        <v>955</v>
      </c>
      <c r="DQ30" s="441">
        <v>994</v>
      </c>
      <c r="DR30" s="441">
        <v>838</v>
      </c>
      <c r="DS30" s="441">
        <v>788</v>
      </c>
      <c r="DT30" s="441">
        <v>1334</v>
      </c>
      <c r="DU30" s="441">
        <v>1209</v>
      </c>
      <c r="DV30" s="441">
        <v>1220</v>
      </c>
      <c r="DW30" s="441">
        <v>1247</v>
      </c>
      <c r="DX30" s="441">
        <v>1213</v>
      </c>
      <c r="DY30" s="441">
        <v>1300</v>
      </c>
      <c r="DZ30" s="441">
        <v>1237</v>
      </c>
      <c r="EA30" s="441">
        <v>1364</v>
      </c>
      <c r="EB30" s="441">
        <v>1502</v>
      </c>
      <c r="EC30" s="441">
        <v>1422</v>
      </c>
      <c r="ED30" s="441">
        <v>1526</v>
      </c>
      <c r="EE30" s="441">
        <v>1517</v>
      </c>
      <c r="EF30" s="441">
        <v>1546</v>
      </c>
      <c r="EG30" s="441">
        <v>1607</v>
      </c>
      <c r="EH30" s="441">
        <v>1570</v>
      </c>
      <c r="EI30" s="441">
        <v>1529</v>
      </c>
      <c r="EJ30" s="441">
        <v>1620</v>
      </c>
      <c r="EK30" s="441">
        <v>1666</v>
      </c>
      <c r="EL30" s="441">
        <v>1559</v>
      </c>
      <c r="EM30" s="441">
        <v>1393</v>
      </c>
      <c r="EN30" s="441">
        <v>1206</v>
      </c>
      <c r="EO30" s="441">
        <v>1121</v>
      </c>
      <c r="EP30" s="441">
        <v>1085</v>
      </c>
      <c r="EQ30" s="441">
        <v>1157</v>
      </c>
      <c r="ER30" s="441">
        <v>1309</v>
      </c>
      <c r="ES30" s="441">
        <v>1171</v>
      </c>
      <c r="ET30" s="441">
        <v>1258</v>
      </c>
      <c r="EU30" s="441">
        <v>1203</v>
      </c>
      <c r="EV30" s="441">
        <v>1273</v>
      </c>
      <c r="EW30" s="441">
        <v>1233</v>
      </c>
      <c r="EX30" s="441">
        <v>1111</v>
      </c>
      <c r="EY30" s="441">
        <v>1208</v>
      </c>
      <c r="EZ30" s="441">
        <v>1092</v>
      </c>
      <c r="FA30" s="441">
        <v>1141</v>
      </c>
      <c r="FB30" s="441">
        <v>1118</v>
      </c>
      <c r="FC30" s="441">
        <v>1193</v>
      </c>
      <c r="FD30" s="441">
        <v>1314</v>
      </c>
      <c r="FE30" s="441">
        <v>1106</v>
      </c>
      <c r="FF30" s="441">
        <v>1173</v>
      </c>
      <c r="FG30" s="441">
        <v>1030</v>
      </c>
      <c r="FH30" s="441">
        <v>1055</v>
      </c>
      <c r="FI30" s="441">
        <v>1230</v>
      </c>
      <c r="FJ30" s="441">
        <v>1195</v>
      </c>
      <c r="FK30" s="441">
        <v>1243</v>
      </c>
      <c r="FL30" s="441">
        <v>1294</v>
      </c>
      <c r="FM30" s="441">
        <v>1228</v>
      </c>
      <c r="FN30" s="441">
        <v>1230</v>
      </c>
      <c r="FO30" s="441">
        <v>1086</v>
      </c>
      <c r="FP30" s="441">
        <v>1158</v>
      </c>
      <c r="FQ30" s="441">
        <v>1111</v>
      </c>
      <c r="FR30" s="441">
        <v>1175</v>
      </c>
      <c r="FS30" s="441">
        <v>1033</v>
      </c>
      <c r="FT30" s="441">
        <v>1200</v>
      </c>
      <c r="FU30" s="441">
        <v>1097</v>
      </c>
      <c r="FV30" s="441">
        <v>1023</v>
      </c>
      <c r="FW30" s="441">
        <v>1082</v>
      </c>
      <c r="FX30" s="441">
        <v>987</v>
      </c>
      <c r="FY30" s="441">
        <v>977</v>
      </c>
      <c r="FZ30" s="441">
        <v>1052</v>
      </c>
      <c r="GA30" s="441">
        <v>988</v>
      </c>
      <c r="GB30" s="441">
        <v>1008</v>
      </c>
      <c r="GC30" s="441">
        <v>887</v>
      </c>
      <c r="GD30" s="441">
        <v>975</v>
      </c>
      <c r="GE30" s="441">
        <v>936</v>
      </c>
      <c r="GF30" s="441">
        <v>958</v>
      </c>
      <c r="GG30" s="441">
        <v>988</v>
      </c>
      <c r="GH30" s="441">
        <v>889</v>
      </c>
      <c r="GI30" s="441">
        <v>1023</v>
      </c>
      <c r="GJ30" s="441">
        <v>955</v>
      </c>
      <c r="GK30" s="430">
        <v>1008</v>
      </c>
    </row>
    <row r="31" spans="1:193">
      <c r="A31" s="231" t="s">
        <v>240</v>
      </c>
      <c r="B31" s="442">
        <v>1203</v>
      </c>
      <c r="C31" s="442">
        <v>1166</v>
      </c>
      <c r="D31" s="442">
        <v>1268</v>
      </c>
      <c r="E31" s="442">
        <v>1261</v>
      </c>
      <c r="F31" s="442">
        <v>1348</v>
      </c>
      <c r="G31" s="442">
        <v>1371</v>
      </c>
      <c r="H31" s="442">
        <v>1347</v>
      </c>
      <c r="I31" s="442">
        <v>1346</v>
      </c>
      <c r="J31" s="442">
        <v>1250</v>
      </c>
      <c r="K31" s="442">
        <v>1387</v>
      </c>
      <c r="L31" s="442">
        <v>1383</v>
      </c>
      <c r="M31" s="442">
        <v>1993</v>
      </c>
      <c r="N31" s="442">
        <v>1857</v>
      </c>
      <c r="O31" s="442">
        <v>1444</v>
      </c>
      <c r="P31" s="442">
        <v>1538</v>
      </c>
      <c r="Q31" s="442">
        <v>1422</v>
      </c>
      <c r="R31" s="442">
        <v>1493</v>
      </c>
      <c r="S31" s="442">
        <v>1377</v>
      </c>
      <c r="T31" s="442">
        <v>1489</v>
      </c>
      <c r="U31" s="442">
        <v>1330</v>
      </c>
      <c r="V31" s="442">
        <v>1579</v>
      </c>
      <c r="W31" s="442">
        <v>1668</v>
      </c>
      <c r="X31" s="442">
        <v>2227</v>
      </c>
      <c r="Y31" s="442">
        <v>1451</v>
      </c>
      <c r="Z31" s="442">
        <v>1564</v>
      </c>
      <c r="AA31" s="442">
        <v>1519</v>
      </c>
      <c r="AB31" s="442">
        <v>1598</v>
      </c>
      <c r="AC31" s="442">
        <v>1542</v>
      </c>
      <c r="AD31" s="442">
        <v>1892</v>
      </c>
      <c r="AE31" s="442">
        <v>1725</v>
      </c>
      <c r="AF31" s="442">
        <v>1766</v>
      </c>
      <c r="AG31" s="442">
        <v>1765</v>
      </c>
      <c r="AH31" s="442">
        <v>1431</v>
      </c>
      <c r="AI31" s="442">
        <v>1904</v>
      </c>
      <c r="AJ31" s="442">
        <v>1889</v>
      </c>
      <c r="AK31" s="442">
        <v>1485</v>
      </c>
      <c r="AL31" s="442">
        <v>1733</v>
      </c>
      <c r="AM31" s="442">
        <v>1890</v>
      </c>
      <c r="AN31" s="442">
        <v>2137</v>
      </c>
      <c r="AO31" s="442">
        <v>1984</v>
      </c>
      <c r="AP31" s="442">
        <v>2071</v>
      </c>
      <c r="AQ31" s="442">
        <v>1888</v>
      </c>
      <c r="AR31" s="442">
        <v>2299</v>
      </c>
      <c r="AS31" s="442">
        <v>2127</v>
      </c>
      <c r="AT31" s="442">
        <v>2443</v>
      </c>
      <c r="AU31" s="442">
        <v>2382</v>
      </c>
      <c r="AV31" s="442">
        <v>2814</v>
      </c>
      <c r="AW31" s="442">
        <v>3549</v>
      </c>
      <c r="AX31" s="442">
        <v>2831</v>
      </c>
      <c r="AY31" s="442">
        <v>2964</v>
      </c>
      <c r="AZ31" s="442">
        <v>3251</v>
      </c>
      <c r="BA31" s="442">
        <v>3652</v>
      </c>
      <c r="BB31" s="442">
        <v>4174</v>
      </c>
      <c r="BC31" s="442">
        <v>3850</v>
      </c>
      <c r="BD31" s="442">
        <v>3932</v>
      </c>
      <c r="BE31" s="442">
        <v>4237</v>
      </c>
      <c r="BF31" s="442">
        <v>4208</v>
      </c>
      <c r="BG31" s="442">
        <v>3360</v>
      </c>
      <c r="BH31" s="442">
        <v>4612</v>
      </c>
      <c r="BI31" s="442">
        <v>4232</v>
      </c>
      <c r="BJ31" s="442">
        <v>3641</v>
      </c>
      <c r="BK31" s="442">
        <v>4286</v>
      </c>
      <c r="BL31" s="442">
        <v>4469</v>
      </c>
      <c r="BM31" s="442">
        <v>2744</v>
      </c>
      <c r="BN31" s="442">
        <v>4878</v>
      </c>
      <c r="BO31" s="442">
        <v>4408</v>
      </c>
      <c r="BP31" s="442">
        <v>3900</v>
      </c>
      <c r="BQ31" s="442">
        <v>2809</v>
      </c>
      <c r="BR31" s="442">
        <v>2264</v>
      </c>
      <c r="BS31" s="442">
        <v>2492</v>
      </c>
      <c r="BT31" s="442">
        <v>2809</v>
      </c>
      <c r="BU31" s="442">
        <v>2499</v>
      </c>
      <c r="BV31" s="442">
        <v>2389</v>
      </c>
      <c r="BW31" s="442">
        <v>2708</v>
      </c>
      <c r="BX31" s="442">
        <v>2993</v>
      </c>
      <c r="BY31" s="442">
        <v>2090</v>
      </c>
      <c r="BZ31" s="442">
        <v>2897</v>
      </c>
      <c r="CA31" s="442">
        <v>2690</v>
      </c>
      <c r="CB31" s="442">
        <v>2760</v>
      </c>
      <c r="CC31" s="442">
        <v>2749</v>
      </c>
      <c r="CD31" s="442">
        <v>2430</v>
      </c>
      <c r="CE31" s="442">
        <v>2486</v>
      </c>
      <c r="CF31" s="442">
        <v>2479</v>
      </c>
      <c r="CG31" s="442">
        <v>2172</v>
      </c>
      <c r="CH31" s="442">
        <v>2053</v>
      </c>
      <c r="CI31" s="442">
        <v>2703</v>
      </c>
      <c r="CJ31" s="442">
        <v>2278</v>
      </c>
      <c r="CK31" s="442">
        <v>2405</v>
      </c>
      <c r="CL31" s="442">
        <v>2390</v>
      </c>
      <c r="CM31" s="442">
        <v>2486</v>
      </c>
      <c r="CN31" s="442">
        <v>2564</v>
      </c>
      <c r="CO31" s="442">
        <v>2516</v>
      </c>
      <c r="CP31" s="442">
        <v>2543</v>
      </c>
      <c r="CQ31" s="442">
        <v>2756</v>
      </c>
      <c r="CR31" s="442">
        <v>2770</v>
      </c>
      <c r="CS31" s="442">
        <v>2490</v>
      </c>
      <c r="CT31" s="442">
        <v>2436</v>
      </c>
      <c r="CU31" s="442">
        <v>3083</v>
      </c>
      <c r="CV31" s="442">
        <v>2814</v>
      </c>
      <c r="CW31" s="442">
        <v>2645</v>
      </c>
      <c r="CX31" s="442">
        <v>2633</v>
      </c>
      <c r="CY31" s="442">
        <v>2553</v>
      </c>
      <c r="CZ31" s="442">
        <v>2773</v>
      </c>
      <c r="DA31" s="442">
        <v>2659</v>
      </c>
      <c r="DB31" s="442">
        <v>3004</v>
      </c>
      <c r="DC31" s="442">
        <v>3002</v>
      </c>
      <c r="DD31" s="442">
        <v>3419</v>
      </c>
      <c r="DE31" s="442">
        <v>3150</v>
      </c>
      <c r="DF31" s="442">
        <v>3160</v>
      </c>
      <c r="DG31" s="442">
        <v>3587</v>
      </c>
      <c r="DH31" s="442">
        <v>3933</v>
      </c>
      <c r="DI31" s="442">
        <v>3273</v>
      </c>
      <c r="DJ31" s="442">
        <v>4027</v>
      </c>
      <c r="DK31" s="442">
        <v>4102</v>
      </c>
      <c r="DL31" s="442">
        <v>4683</v>
      </c>
      <c r="DM31" s="442">
        <v>4730</v>
      </c>
      <c r="DN31" s="442">
        <v>4846</v>
      </c>
      <c r="DO31" s="442">
        <v>5440</v>
      </c>
      <c r="DP31" s="442">
        <v>5836</v>
      </c>
      <c r="DQ31" s="442">
        <v>4902</v>
      </c>
      <c r="DR31" s="442">
        <v>5055</v>
      </c>
      <c r="DS31" s="442">
        <v>6302</v>
      </c>
      <c r="DT31" s="442">
        <v>6750</v>
      </c>
      <c r="DU31" s="442">
        <v>5663</v>
      </c>
      <c r="DV31" s="442">
        <v>6949</v>
      </c>
      <c r="DW31" s="442">
        <v>6815</v>
      </c>
      <c r="DX31" s="442">
        <v>6737</v>
      </c>
      <c r="DY31" s="442">
        <v>6632</v>
      </c>
      <c r="DZ31" s="442">
        <v>5861</v>
      </c>
      <c r="EA31" s="442">
        <v>5895</v>
      </c>
      <c r="EB31" s="442">
        <v>5797</v>
      </c>
      <c r="EC31" s="442">
        <v>4567</v>
      </c>
      <c r="ED31" s="442">
        <v>4232</v>
      </c>
      <c r="EE31" s="442">
        <v>4569</v>
      </c>
      <c r="EF31" s="442">
        <v>4655</v>
      </c>
      <c r="EG31" s="442">
        <v>4576</v>
      </c>
      <c r="EH31" s="442">
        <v>3431</v>
      </c>
      <c r="EI31" s="442">
        <v>2542</v>
      </c>
      <c r="EJ31" s="442">
        <v>2771</v>
      </c>
      <c r="EK31" s="442">
        <v>2684</v>
      </c>
      <c r="EL31" s="442">
        <v>2218</v>
      </c>
      <c r="EM31" s="442">
        <v>2415</v>
      </c>
      <c r="EN31" s="442">
        <v>2765</v>
      </c>
      <c r="EO31" s="442">
        <v>2249</v>
      </c>
      <c r="EP31" s="442">
        <v>2273</v>
      </c>
      <c r="EQ31" s="442">
        <v>2788</v>
      </c>
      <c r="ER31" s="442">
        <v>2403</v>
      </c>
      <c r="ES31" s="442">
        <v>2512</v>
      </c>
      <c r="ET31" s="442">
        <v>2571</v>
      </c>
      <c r="EU31" s="442">
        <v>2275</v>
      </c>
      <c r="EV31" s="442">
        <v>2438</v>
      </c>
      <c r="EW31" s="442">
        <v>2215</v>
      </c>
      <c r="EX31" s="442">
        <v>1948</v>
      </c>
      <c r="EY31" s="442">
        <v>2248</v>
      </c>
      <c r="EZ31" s="442">
        <v>2362</v>
      </c>
      <c r="FA31" s="442">
        <v>1982</v>
      </c>
      <c r="FB31" s="442">
        <v>2109</v>
      </c>
      <c r="FC31" s="442">
        <v>2582</v>
      </c>
      <c r="FD31" s="442">
        <v>2573</v>
      </c>
      <c r="FE31" s="442">
        <v>2253</v>
      </c>
      <c r="FF31" s="442">
        <v>2279</v>
      </c>
      <c r="FG31" s="442">
        <v>2194</v>
      </c>
      <c r="FH31" s="442">
        <v>2162</v>
      </c>
      <c r="FI31" s="442">
        <v>2076</v>
      </c>
      <c r="FJ31" s="442">
        <v>2083</v>
      </c>
      <c r="FK31" s="442">
        <v>2362</v>
      </c>
      <c r="FL31" s="442">
        <v>2442</v>
      </c>
      <c r="FM31" s="442">
        <v>2004</v>
      </c>
      <c r="FN31" s="442">
        <v>2125</v>
      </c>
      <c r="FO31" s="442">
        <v>2433</v>
      </c>
      <c r="FP31" s="442">
        <v>2304</v>
      </c>
      <c r="FQ31" s="442">
        <v>2286</v>
      </c>
      <c r="FR31" s="442">
        <v>2378</v>
      </c>
      <c r="FS31" s="442">
        <v>2412</v>
      </c>
      <c r="FT31" s="442">
        <v>2700</v>
      </c>
      <c r="FU31" s="442">
        <v>2308</v>
      </c>
      <c r="FV31" s="442">
        <v>2176</v>
      </c>
      <c r="FW31" s="442">
        <v>2359</v>
      </c>
      <c r="FX31" s="442">
        <v>2456</v>
      </c>
      <c r="FY31" s="442">
        <v>1949</v>
      </c>
      <c r="FZ31" s="442">
        <v>1900</v>
      </c>
      <c r="GA31" s="442">
        <v>1899</v>
      </c>
      <c r="GB31" s="442">
        <v>1755</v>
      </c>
      <c r="GC31" s="442">
        <v>1631</v>
      </c>
      <c r="GD31" s="442">
        <v>1718</v>
      </c>
      <c r="GE31" s="442">
        <v>1620</v>
      </c>
      <c r="GF31" s="442">
        <v>1492</v>
      </c>
      <c r="GG31" s="442">
        <v>1631</v>
      </c>
      <c r="GH31" s="442">
        <v>1680</v>
      </c>
      <c r="GI31" s="442">
        <v>1911</v>
      </c>
      <c r="GJ31" s="442">
        <v>1645</v>
      </c>
      <c r="GK31" s="431">
        <v>1992</v>
      </c>
    </row>
    <row r="32" spans="1:193">
      <c r="A32" s="231" t="s">
        <v>243</v>
      </c>
      <c r="B32" s="348">
        <v>13</v>
      </c>
      <c r="C32" s="348">
        <v>16</v>
      </c>
      <c r="D32" s="348">
        <v>18</v>
      </c>
      <c r="E32" s="348">
        <v>11</v>
      </c>
      <c r="F32" s="348">
        <v>16</v>
      </c>
      <c r="G32" s="348">
        <v>11</v>
      </c>
      <c r="H32" s="348">
        <v>5</v>
      </c>
      <c r="I32" s="348">
        <v>14</v>
      </c>
      <c r="J32" s="348">
        <v>10</v>
      </c>
      <c r="K32" s="348">
        <v>7</v>
      </c>
      <c r="L32" s="348">
        <v>8</v>
      </c>
      <c r="M32" s="348">
        <v>8</v>
      </c>
      <c r="N32" s="348">
        <v>6</v>
      </c>
      <c r="O32" s="348">
        <v>6</v>
      </c>
      <c r="P32" s="348">
        <v>12</v>
      </c>
      <c r="Q32" s="348">
        <v>7</v>
      </c>
      <c r="R32" s="348">
        <v>6</v>
      </c>
      <c r="S32" s="348">
        <v>12</v>
      </c>
      <c r="T32" s="348">
        <v>7</v>
      </c>
      <c r="U32" s="348">
        <v>9</v>
      </c>
      <c r="V32" s="348">
        <v>11</v>
      </c>
      <c r="W32" s="348">
        <v>12</v>
      </c>
      <c r="X32" s="348">
        <v>9</v>
      </c>
      <c r="Y32" s="348">
        <v>6</v>
      </c>
      <c r="Z32" s="348">
        <v>8</v>
      </c>
      <c r="AA32" s="348">
        <v>7</v>
      </c>
      <c r="AB32" s="348">
        <v>8</v>
      </c>
      <c r="AC32" s="348">
        <v>10</v>
      </c>
      <c r="AD32" s="348">
        <v>15</v>
      </c>
      <c r="AE32" s="348">
        <v>15</v>
      </c>
      <c r="AF32" s="348">
        <v>10</v>
      </c>
      <c r="AG32" s="348">
        <v>12</v>
      </c>
      <c r="AH32" s="348">
        <v>12</v>
      </c>
      <c r="AI32" s="348">
        <v>11</v>
      </c>
      <c r="AJ32" s="348">
        <v>13</v>
      </c>
      <c r="AK32" s="348">
        <v>14</v>
      </c>
      <c r="AL32" s="348">
        <v>7</v>
      </c>
      <c r="AM32" s="348">
        <v>9</v>
      </c>
      <c r="AN32" s="348">
        <v>6</v>
      </c>
      <c r="AO32" s="348">
        <v>27</v>
      </c>
      <c r="AP32" s="348">
        <v>16</v>
      </c>
      <c r="AQ32" s="348">
        <v>18</v>
      </c>
      <c r="AR32" s="348">
        <v>41</v>
      </c>
      <c r="AS32" s="348">
        <v>53</v>
      </c>
      <c r="AT32" s="348">
        <v>46</v>
      </c>
      <c r="AU32" s="348">
        <v>13</v>
      </c>
      <c r="AV32" s="348">
        <v>12</v>
      </c>
      <c r="AW32" s="348">
        <v>13</v>
      </c>
      <c r="AX32" s="348">
        <v>16</v>
      </c>
      <c r="AY32" s="348">
        <v>25</v>
      </c>
      <c r="AZ32" s="348">
        <v>23</v>
      </c>
      <c r="BA32" s="348">
        <v>25</v>
      </c>
      <c r="BB32" s="348">
        <v>19</v>
      </c>
      <c r="BC32" s="348">
        <v>18</v>
      </c>
      <c r="BD32" s="348">
        <v>11</v>
      </c>
      <c r="BE32" s="348">
        <v>18</v>
      </c>
      <c r="BF32" s="348">
        <v>12</v>
      </c>
      <c r="BG32" s="348">
        <v>11</v>
      </c>
      <c r="BH32" s="348">
        <v>15</v>
      </c>
      <c r="BI32" s="348">
        <v>13</v>
      </c>
      <c r="BJ32" s="348">
        <v>8</v>
      </c>
      <c r="BK32" s="348">
        <v>10</v>
      </c>
      <c r="BL32" s="348">
        <v>16</v>
      </c>
      <c r="BM32" s="348">
        <v>10</v>
      </c>
      <c r="BN32" s="348">
        <v>9</v>
      </c>
      <c r="BO32" s="348">
        <v>12</v>
      </c>
      <c r="BP32" s="348">
        <v>11</v>
      </c>
      <c r="BQ32" s="348">
        <v>11</v>
      </c>
      <c r="BR32" s="348">
        <v>12</v>
      </c>
      <c r="BS32" s="348">
        <v>8</v>
      </c>
      <c r="BT32" s="348">
        <v>14</v>
      </c>
      <c r="BU32" s="348">
        <v>10</v>
      </c>
      <c r="BV32" s="348">
        <v>16</v>
      </c>
      <c r="BW32" s="348">
        <v>13</v>
      </c>
      <c r="BX32" s="348">
        <v>10</v>
      </c>
      <c r="BY32" s="348">
        <v>11</v>
      </c>
      <c r="BZ32" s="348">
        <v>10</v>
      </c>
      <c r="CA32" s="348">
        <v>21</v>
      </c>
      <c r="CB32" s="348">
        <v>22</v>
      </c>
      <c r="CC32" s="348">
        <v>12</v>
      </c>
      <c r="CD32" s="348">
        <v>15</v>
      </c>
      <c r="CE32" s="348">
        <v>14</v>
      </c>
      <c r="CF32" s="441">
        <v>22</v>
      </c>
      <c r="CG32" s="441">
        <v>11</v>
      </c>
      <c r="CH32" s="441">
        <v>18</v>
      </c>
      <c r="CI32" s="441">
        <v>28</v>
      </c>
      <c r="CJ32" s="441">
        <v>23</v>
      </c>
      <c r="CK32" s="441">
        <v>28</v>
      </c>
      <c r="CL32" s="441">
        <v>33</v>
      </c>
      <c r="CM32" s="441">
        <v>34</v>
      </c>
      <c r="CN32" s="441">
        <v>35</v>
      </c>
      <c r="CO32" s="441">
        <v>38</v>
      </c>
      <c r="CP32" s="441">
        <v>49</v>
      </c>
      <c r="CQ32" s="441">
        <v>39</v>
      </c>
      <c r="CR32" s="441">
        <v>29</v>
      </c>
      <c r="CS32" s="441">
        <v>26</v>
      </c>
      <c r="CT32" s="441">
        <v>35</v>
      </c>
      <c r="CU32" s="441">
        <v>24</v>
      </c>
      <c r="CV32" s="441">
        <v>23</v>
      </c>
      <c r="CW32" s="441">
        <v>13</v>
      </c>
      <c r="CX32" s="441">
        <v>21</v>
      </c>
      <c r="CY32" s="441">
        <v>23</v>
      </c>
      <c r="CZ32" s="441">
        <v>21</v>
      </c>
      <c r="DA32" s="441">
        <v>22</v>
      </c>
      <c r="DB32" s="441">
        <v>27</v>
      </c>
      <c r="DC32" s="441">
        <v>37</v>
      </c>
      <c r="DD32" s="441">
        <v>43</v>
      </c>
      <c r="DE32" s="441">
        <v>192</v>
      </c>
      <c r="DF32" s="441">
        <v>162</v>
      </c>
      <c r="DG32" s="441">
        <v>155</v>
      </c>
      <c r="DH32" s="441">
        <v>54</v>
      </c>
      <c r="DI32" s="441">
        <v>43</v>
      </c>
      <c r="DJ32" s="441">
        <v>44</v>
      </c>
      <c r="DK32" s="441">
        <v>46</v>
      </c>
      <c r="DL32" s="441">
        <v>35</v>
      </c>
      <c r="DM32" s="441">
        <v>37</v>
      </c>
      <c r="DN32" s="441">
        <v>31</v>
      </c>
      <c r="DO32" s="441">
        <v>34</v>
      </c>
      <c r="DP32" s="441">
        <v>43</v>
      </c>
      <c r="DQ32" s="441">
        <v>25</v>
      </c>
      <c r="DR32" s="441">
        <v>16</v>
      </c>
      <c r="DS32" s="441">
        <v>16</v>
      </c>
      <c r="DT32" s="441">
        <v>20</v>
      </c>
      <c r="DU32" s="441">
        <v>10</v>
      </c>
      <c r="DV32" s="441">
        <v>18</v>
      </c>
      <c r="DW32" s="441">
        <v>18</v>
      </c>
      <c r="DX32" s="441">
        <v>15</v>
      </c>
      <c r="DY32" s="441">
        <v>59</v>
      </c>
      <c r="DZ32" s="441">
        <v>90</v>
      </c>
      <c r="EA32" s="441">
        <v>75</v>
      </c>
      <c r="EB32" s="441">
        <v>35</v>
      </c>
      <c r="EC32" s="441">
        <v>19</v>
      </c>
      <c r="ED32" s="441">
        <v>21</v>
      </c>
      <c r="EE32" s="441">
        <v>21</v>
      </c>
      <c r="EF32" s="441">
        <v>45</v>
      </c>
      <c r="EG32" s="441">
        <v>37</v>
      </c>
      <c r="EH32" s="441">
        <v>37</v>
      </c>
      <c r="EI32" s="441">
        <v>26</v>
      </c>
      <c r="EJ32" s="441">
        <v>26</v>
      </c>
      <c r="EK32" s="441">
        <v>25</v>
      </c>
      <c r="EL32" s="441">
        <v>21</v>
      </c>
      <c r="EM32" s="441">
        <v>25</v>
      </c>
      <c r="EN32" s="441">
        <v>52</v>
      </c>
      <c r="EO32" s="441">
        <v>78</v>
      </c>
      <c r="EP32" s="441">
        <v>81</v>
      </c>
      <c r="EQ32" s="441">
        <v>41</v>
      </c>
      <c r="ER32" s="441">
        <v>46</v>
      </c>
      <c r="ES32" s="441">
        <v>35</v>
      </c>
      <c r="ET32" s="441">
        <v>32</v>
      </c>
      <c r="EU32" s="441">
        <v>33</v>
      </c>
      <c r="EV32" s="441">
        <v>34</v>
      </c>
      <c r="EW32" s="441">
        <v>31</v>
      </c>
      <c r="EX32" s="441">
        <v>26</v>
      </c>
      <c r="EY32" s="441">
        <v>34</v>
      </c>
      <c r="EZ32" s="441">
        <v>44</v>
      </c>
      <c r="FA32" s="441">
        <v>27</v>
      </c>
      <c r="FB32" s="441">
        <v>35</v>
      </c>
      <c r="FC32" s="441">
        <v>51</v>
      </c>
      <c r="FD32" s="441">
        <v>61</v>
      </c>
      <c r="FE32" s="441">
        <v>345</v>
      </c>
      <c r="FF32" s="441">
        <v>409</v>
      </c>
      <c r="FG32" s="441">
        <v>383</v>
      </c>
      <c r="FH32" s="441">
        <v>373</v>
      </c>
      <c r="FI32" s="441">
        <v>415</v>
      </c>
      <c r="FJ32" s="441">
        <v>425</v>
      </c>
      <c r="FK32" s="441">
        <v>455</v>
      </c>
      <c r="FL32" s="441">
        <v>413</v>
      </c>
      <c r="FM32" s="441">
        <v>130</v>
      </c>
      <c r="FN32" s="441">
        <v>120</v>
      </c>
      <c r="FO32" s="441">
        <v>120</v>
      </c>
      <c r="FP32" s="441">
        <v>122</v>
      </c>
      <c r="FQ32" s="441">
        <v>123</v>
      </c>
      <c r="FR32" s="441">
        <v>205</v>
      </c>
      <c r="FS32" s="441">
        <v>186</v>
      </c>
      <c r="FT32" s="441">
        <v>167</v>
      </c>
      <c r="FU32" s="441">
        <v>140</v>
      </c>
      <c r="FV32" s="441">
        <v>141</v>
      </c>
      <c r="FW32" s="441">
        <v>167</v>
      </c>
      <c r="FX32" s="441">
        <v>196</v>
      </c>
      <c r="FY32" s="441">
        <v>173</v>
      </c>
      <c r="FZ32" s="441">
        <v>136</v>
      </c>
      <c r="GA32" s="441">
        <v>112</v>
      </c>
      <c r="GB32" s="441">
        <v>140</v>
      </c>
      <c r="GC32" s="441">
        <v>182</v>
      </c>
      <c r="GD32" s="441">
        <v>136</v>
      </c>
      <c r="GE32" s="441">
        <v>107</v>
      </c>
      <c r="GF32" s="441">
        <v>145</v>
      </c>
      <c r="GG32" s="441">
        <v>162</v>
      </c>
      <c r="GH32" s="441">
        <v>144</v>
      </c>
      <c r="GI32" s="441">
        <v>133</v>
      </c>
      <c r="GJ32" s="441">
        <v>188</v>
      </c>
      <c r="GK32" s="430">
        <v>189</v>
      </c>
    </row>
    <row r="33" spans="1:193">
      <c r="A33" s="231" t="s">
        <v>245</v>
      </c>
      <c r="B33" s="442">
        <v>159</v>
      </c>
      <c r="C33" s="442">
        <v>192</v>
      </c>
      <c r="D33" s="442">
        <v>195</v>
      </c>
      <c r="E33" s="442">
        <v>164</v>
      </c>
      <c r="F33" s="442">
        <v>200</v>
      </c>
      <c r="G33" s="442">
        <v>249</v>
      </c>
      <c r="H33" s="442">
        <v>220</v>
      </c>
      <c r="I33" s="442">
        <v>244</v>
      </c>
      <c r="J33" s="442">
        <v>253</v>
      </c>
      <c r="K33" s="442">
        <v>230</v>
      </c>
      <c r="L33" s="442">
        <v>259</v>
      </c>
      <c r="M33" s="442">
        <v>213</v>
      </c>
      <c r="N33" s="442">
        <v>262</v>
      </c>
      <c r="O33" s="442">
        <v>267</v>
      </c>
      <c r="P33" s="442">
        <v>223</v>
      </c>
      <c r="Q33" s="442">
        <v>77</v>
      </c>
      <c r="R33" s="442">
        <v>85</v>
      </c>
      <c r="S33" s="442">
        <v>74</v>
      </c>
      <c r="T33" s="442">
        <v>64</v>
      </c>
      <c r="U33" s="442">
        <v>57</v>
      </c>
      <c r="V33" s="442">
        <v>68</v>
      </c>
      <c r="W33" s="442">
        <v>86</v>
      </c>
      <c r="X33" s="442">
        <v>100</v>
      </c>
      <c r="Y33" s="442">
        <v>80</v>
      </c>
      <c r="Z33" s="442">
        <v>73</v>
      </c>
      <c r="AA33" s="442">
        <v>82</v>
      </c>
      <c r="AB33" s="442">
        <v>79</v>
      </c>
      <c r="AC33" s="442">
        <v>71</v>
      </c>
      <c r="AD33" s="442">
        <v>85</v>
      </c>
      <c r="AE33" s="442">
        <v>65</v>
      </c>
      <c r="AF33" s="442">
        <v>77</v>
      </c>
      <c r="AG33" s="442">
        <v>79</v>
      </c>
      <c r="AH33" s="442">
        <v>93</v>
      </c>
      <c r="AI33" s="442">
        <v>75</v>
      </c>
      <c r="AJ33" s="442">
        <v>74</v>
      </c>
      <c r="AK33" s="442">
        <v>67</v>
      </c>
      <c r="AL33" s="442">
        <v>66</v>
      </c>
      <c r="AM33" s="442">
        <v>45</v>
      </c>
      <c r="AN33" s="442">
        <v>64</v>
      </c>
      <c r="AO33" s="442">
        <v>65</v>
      </c>
      <c r="AP33" s="442">
        <v>77</v>
      </c>
      <c r="AQ33" s="442">
        <v>77</v>
      </c>
      <c r="AR33" s="442">
        <v>88</v>
      </c>
      <c r="AS33" s="442">
        <v>71</v>
      </c>
      <c r="AT33" s="442">
        <v>96</v>
      </c>
      <c r="AU33" s="442">
        <v>91</v>
      </c>
      <c r="AV33" s="442">
        <v>103</v>
      </c>
      <c r="AW33" s="442">
        <v>100</v>
      </c>
      <c r="AX33" s="442">
        <v>89</v>
      </c>
      <c r="AY33" s="442">
        <v>93</v>
      </c>
      <c r="AZ33" s="442">
        <v>83</v>
      </c>
      <c r="BA33" s="442">
        <v>81</v>
      </c>
      <c r="BB33" s="442">
        <v>104</v>
      </c>
      <c r="BC33" s="442">
        <v>96</v>
      </c>
      <c r="BD33" s="442">
        <v>108</v>
      </c>
      <c r="BE33" s="442">
        <v>112</v>
      </c>
      <c r="BF33" s="442">
        <v>114</v>
      </c>
      <c r="BG33" s="442">
        <v>126</v>
      </c>
      <c r="BH33" s="442">
        <v>135</v>
      </c>
      <c r="BI33" s="442">
        <v>94</v>
      </c>
      <c r="BJ33" s="442">
        <v>87</v>
      </c>
      <c r="BK33" s="442">
        <v>122</v>
      </c>
      <c r="BL33" s="442">
        <v>111</v>
      </c>
      <c r="BM33" s="442">
        <v>96</v>
      </c>
      <c r="BN33" s="442">
        <v>104</v>
      </c>
      <c r="BO33" s="442">
        <v>116</v>
      </c>
      <c r="BP33" s="442">
        <v>145</v>
      </c>
      <c r="BQ33" s="442">
        <v>135</v>
      </c>
      <c r="BR33" s="442">
        <v>144</v>
      </c>
      <c r="BS33" s="442">
        <v>186</v>
      </c>
      <c r="BT33" s="442">
        <v>188</v>
      </c>
      <c r="BU33" s="442">
        <v>156</v>
      </c>
      <c r="BV33" s="442">
        <v>145</v>
      </c>
      <c r="BW33" s="442">
        <v>158</v>
      </c>
      <c r="BX33" s="442">
        <v>162</v>
      </c>
      <c r="BY33" s="442">
        <v>160</v>
      </c>
      <c r="BZ33" s="442">
        <v>195</v>
      </c>
      <c r="CA33" s="442">
        <v>216</v>
      </c>
      <c r="CB33" s="442">
        <v>212</v>
      </c>
      <c r="CC33" s="442">
        <v>191</v>
      </c>
      <c r="CD33" s="442">
        <v>196</v>
      </c>
      <c r="CE33" s="442">
        <v>206</v>
      </c>
      <c r="CF33" s="442">
        <v>217</v>
      </c>
      <c r="CG33" s="442">
        <v>173</v>
      </c>
      <c r="CH33" s="442">
        <v>195</v>
      </c>
      <c r="CI33" s="442">
        <v>190</v>
      </c>
      <c r="CJ33" s="442">
        <v>216</v>
      </c>
      <c r="CK33" s="442">
        <v>252</v>
      </c>
      <c r="CL33" s="442">
        <v>255</v>
      </c>
      <c r="CM33" s="442">
        <v>264</v>
      </c>
      <c r="CN33" s="442">
        <v>242</v>
      </c>
      <c r="CO33" s="442">
        <v>215</v>
      </c>
      <c r="CP33" s="442">
        <v>243</v>
      </c>
      <c r="CQ33" s="442">
        <v>265</v>
      </c>
      <c r="CR33" s="442">
        <v>241</v>
      </c>
      <c r="CS33" s="442">
        <v>200</v>
      </c>
      <c r="CT33" s="442">
        <v>224</v>
      </c>
      <c r="CU33" s="442">
        <v>221</v>
      </c>
      <c r="CV33" s="442">
        <v>245</v>
      </c>
      <c r="CW33" s="442">
        <v>243</v>
      </c>
      <c r="CX33" s="442">
        <v>259</v>
      </c>
      <c r="CY33" s="442">
        <v>227</v>
      </c>
      <c r="CZ33" s="442">
        <v>204</v>
      </c>
      <c r="DA33" s="442">
        <v>186</v>
      </c>
      <c r="DB33" s="442">
        <v>187</v>
      </c>
      <c r="DC33" s="442">
        <v>197</v>
      </c>
      <c r="DD33" s="442">
        <v>207</v>
      </c>
      <c r="DE33" s="442">
        <v>175</v>
      </c>
      <c r="DF33" s="442">
        <v>217</v>
      </c>
      <c r="DG33" s="442">
        <v>245</v>
      </c>
      <c r="DH33" s="442">
        <v>234</v>
      </c>
      <c r="DI33" s="442">
        <v>210</v>
      </c>
      <c r="DJ33" s="442">
        <v>256</v>
      </c>
      <c r="DK33" s="442">
        <v>278</v>
      </c>
      <c r="DL33" s="442">
        <v>282</v>
      </c>
      <c r="DM33" s="442">
        <v>277</v>
      </c>
      <c r="DN33" s="442">
        <v>276</v>
      </c>
      <c r="DO33" s="442">
        <v>233</v>
      </c>
      <c r="DP33" s="442">
        <v>241</v>
      </c>
      <c r="DQ33" s="442">
        <v>212</v>
      </c>
      <c r="DR33" s="442">
        <v>212</v>
      </c>
      <c r="DS33" s="442">
        <v>221</v>
      </c>
      <c r="DT33" s="442">
        <v>245</v>
      </c>
      <c r="DU33" s="442">
        <v>230</v>
      </c>
      <c r="DV33" s="442">
        <v>228</v>
      </c>
      <c r="DW33" s="442">
        <v>260</v>
      </c>
      <c r="DX33" s="442">
        <v>270</v>
      </c>
      <c r="DY33" s="442">
        <v>332</v>
      </c>
      <c r="DZ33" s="442">
        <v>362</v>
      </c>
      <c r="EA33" s="442">
        <v>396</v>
      </c>
      <c r="EB33" s="442">
        <v>410</v>
      </c>
      <c r="EC33" s="442">
        <v>345</v>
      </c>
      <c r="ED33" s="442">
        <v>340</v>
      </c>
      <c r="EE33" s="442">
        <v>353</v>
      </c>
      <c r="EF33" s="442">
        <v>384</v>
      </c>
      <c r="EG33" s="442">
        <v>371</v>
      </c>
      <c r="EH33" s="442">
        <v>393</v>
      </c>
      <c r="EI33" s="442">
        <v>354</v>
      </c>
      <c r="EJ33" s="442">
        <v>313</v>
      </c>
      <c r="EK33" s="442">
        <v>307</v>
      </c>
      <c r="EL33" s="442">
        <v>349</v>
      </c>
      <c r="EM33" s="442">
        <v>357</v>
      </c>
      <c r="EN33" s="442">
        <v>385</v>
      </c>
      <c r="EO33" s="442">
        <v>278</v>
      </c>
      <c r="EP33" s="442">
        <v>335</v>
      </c>
      <c r="EQ33" s="442">
        <v>324</v>
      </c>
      <c r="ER33" s="442">
        <v>393</v>
      </c>
      <c r="ES33" s="442">
        <v>380</v>
      </c>
      <c r="ET33" s="442">
        <v>376</v>
      </c>
      <c r="EU33" s="442">
        <v>358</v>
      </c>
      <c r="EV33" s="442">
        <v>346</v>
      </c>
      <c r="EW33" s="442">
        <v>347</v>
      </c>
      <c r="EX33" s="442">
        <v>376</v>
      </c>
      <c r="EY33" s="442">
        <v>376</v>
      </c>
      <c r="EZ33" s="442">
        <v>383</v>
      </c>
      <c r="FA33" s="442">
        <v>290</v>
      </c>
      <c r="FB33" s="442">
        <v>315</v>
      </c>
      <c r="FC33" s="442">
        <v>305</v>
      </c>
      <c r="FD33" s="442">
        <v>317</v>
      </c>
      <c r="FE33" s="442">
        <v>306</v>
      </c>
      <c r="FF33" s="442">
        <v>298</v>
      </c>
      <c r="FG33" s="442">
        <v>297</v>
      </c>
      <c r="FH33" s="442">
        <v>353</v>
      </c>
      <c r="FI33" s="442">
        <v>317</v>
      </c>
      <c r="FJ33" s="442">
        <v>285</v>
      </c>
      <c r="FK33" s="442">
        <v>299</v>
      </c>
      <c r="FL33" s="442">
        <v>285</v>
      </c>
      <c r="FM33" s="442">
        <v>218</v>
      </c>
      <c r="FN33" s="442">
        <v>209</v>
      </c>
      <c r="FO33" s="442">
        <v>208</v>
      </c>
      <c r="FP33" s="442">
        <v>225</v>
      </c>
      <c r="FQ33" s="442">
        <v>221</v>
      </c>
      <c r="FR33" s="442">
        <v>185</v>
      </c>
      <c r="FS33" s="442">
        <v>174</v>
      </c>
      <c r="FT33" s="442">
        <v>160</v>
      </c>
      <c r="FU33" s="442">
        <v>167</v>
      </c>
      <c r="FV33" s="442">
        <v>173</v>
      </c>
      <c r="FW33" s="442">
        <v>173</v>
      </c>
      <c r="FX33" s="442">
        <v>186</v>
      </c>
      <c r="FY33" s="442">
        <v>155</v>
      </c>
      <c r="FZ33" s="442">
        <v>147</v>
      </c>
      <c r="GA33" s="442">
        <v>180</v>
      </c>
      <c r="GB33" s="442">
        <v>199</v>
      </c>
      <c r="GC33" s="442">
        <v>226</v>
      </c>
      <c r="GD33" s="442">
        <v>235</v>
      </c>
      <c r="GE33" s="442">
        <v>284</v>
      </c>
      <c r="GF33" s="442">
        <v>254</v>
      </c>
      <c r="GG33" s="442">
        <v>272</v>
      </c>
      <c r="GH33" s="442">
        <v>280</v>
      </c>
      <c r="GI33" s="442">
        <v>289</v>
      </c>
      <c r="GJ33" s="442">
        <v>314</v>
      </c>
      <c r="GK33" s="431">
        <v>265</v>
      </c>
    </row>
    <row r="34" spans="1:193">
      <c r="A34" s="231" t="s">
        <v>242</v>
      </c>
      <c r="B34" s="348">
        <v>355</v>
      </c>
      <c r="C34" s="348">
        <v>314</v>
      </c>
      <c r="D34" s="348">
        <v>353</v>
      </c>
      <c r="E34" s="348">
        <v>368</v>
      </c>
      <c r="F34" s="348">
        <v>409</v>
      </c>
      <c r="G34" s="348">
        <v>505</v>
      </c>
      <c r="H34" s="348">
        <v>406</v>
      </c>
      <c r="I34" s="348">
        <v>406</v>
      </c>
      <c r="J34" s="348">
        <v>369</v>
      </c>
      <c r="K34" s="348">
        <v>419</v>
      </c>
      <c r="L34" s="348">
        <v>667</v>
      </c>
      <c r="M34" s="348">
        <v>575</v>
      </c>
      <c r="N34" s="348">
        <v>668</v>
      </c>
      <c r="O34" s="348">
        <v>569</v>
      </c>
      <c r="P34" s="348">
        <v>460</v>
      </c>
      <c r="Q34" s="348">
        <v>376</v>
      </c>
      <c r="R34" s="348">
        <v>514</v>
      </c>
      <c r="S34" s="348">
        <v>421</v>
      </c>
      <c r="T34" s="348">
        <v>587</v>
      </c>
      <c r="U34" s="348">
        <v>535</v>
      </c>
      <c r="V34" s="348">
        <v>402</v>
      </c>
      <c r="W34" s="348">
        <v>551</v>
      </c>
      <c r="X34" s="348">
        <v>551</v>
      </c>
      <c r="Y34" s="348">
        <v>469</v>
      </c>
      <c r="Z34" s="348">
        <v>395</v>
      </c>
      <c r="AA34" s="348">
        <v>402</v>
      </c>
      <c r="AB34" s="348">
        <v>464</v>
      </c>
      <c r="AC34" s="348">
        <v>423</v>
      </c>
      <c r="AD34" s="348">
        <v>524</v>
      </c>
      <c r="AE34" s="348">
        <v>522</v>
      </c>
      <c r="AF34" s="348">
        <v>517</v>
      </c>
      <c r="AG34" s="348">
        <v>473</v>
      </c>
      <c r="AH34" s="348">
        <v>472</v>
      </c>
      <c r="AI34" s="348">
        <v>453</v>
      </c>
      <c r="AJ34" s="348">
        <v>589</v>
      </c>
      <c r="AK34" s="348">
        <v>560</v>
      </c>
      <c r="AL34" s="348">
        <v>548</v>
      </c>
      <c r="AM34" s="348">
        <v>493</v>
      </c>
      <c r="AN34" s="348">
        <v>531</v>
      </c>
      <c r="AO34" s="348">
        <v>796</v>
      </c>
      <c r="AP34" s="348">
        <v>892</v>
      </c>
      <c r="AQ34" s="348">
        <v>578</v>
      </c>
      <c r="AR34" s="348">
        <v>635</v>
      </c>
      <c r="AS34" s="348">
        <v>904</v>
      </c>
      <c r="AT34" s="348">
        <v>738</v>
      </c>
      <c r="AU34" s="348">
        <v>656</v>
      </c>
      <c r="AV34" s="348">
        <v>764</v>
      </c>
      <c r="AW34" s="348">
        <v>666</v>
      </c>
      <c r="AX34" s="348">
        <v>895</v>
      </c>
      <c r="AY34" s="348">
        <v>818</v>
      </c>
      <c r="AZ34" s="348">
        <v>920</v>
      </c>
      <c r="BA34" s="348">
        <v>920</v>
      </c>
      <c r="BB34" s="348">
        <v>951</v>
      </c>
      <c r="BC34" s="348">
        <v>917</v>
      </c>
      <c r="BD34" s="348">
        <v>947</v>
      </c>
      <c r="BE34" s="348">
        <v>879</v>
      </c>
      <c r="BF34" s="348">
        <v>877</v>
      </c>
      <c r="BG34" s="348">
        <v>895</v>
      </c>
      <c r="BH34" s="348">
        <v>918</v>
      </c>
      <c r="BI34" s="348">
        <v>781</v>
      </c>
      <c r="BJ34" s="348">
        <v>725</v>
      </c>
      <c r="BK34" s="348">
        <v>704</v>
      </c>
      <c r="BL34" s="348">
        <v>896</v>
      </c>
      <c r="BM34" s="348">
        <v>802</v>
      </c>
      <c r="BN34" s="348">
        <v>856</v>
      </c>
      <c r="BO34" s="348">
        <v>891</v>
      </c>
      <c r="BP34" s="348">
        <v>1113</v>
      </c>
      <c r="BQ34" s="348">
        <v>1076</v>
      </c>
      <c r="BR34" s="348">
        <v>1157</v>
      </c>
      <c r="BS34" s="348">
        <v>1331</v>
      </c>
      <c r="BT34" s="348">
        <v>1180</v>
      </c>
      <c r="BU34" s="348">
        <v>1078</v>
      </c>
      <c r="BV34" s="348">
        <v>1268</v>
      </c>
      <c r="BW34" s="348">
        <v>1165</v>
      </c>
      <c r="BX34" s="348">
        <v>1115</v>
      </c>
      <c r="BY34" s="348">
        <v>1140</v>
      </c>
      <c r="BZ34" s="348">
        <v>1218</v>
      </c>
      <c r="CA34" s="348">
        <v>1222</v>
      </c>
      <c r="CB34" s="348">
        <v>1343</v>
      </c>
      <c r="CC34" s="348">
        <v>1378</v>
      </c>
      <c r="CD34" s="348">
        <v>1311</v>
      </c>
      <c r="CE34" s="348">
        <v>1579</v>
      </c>
      <c r="CF34" s="441">
        <v>1454</v>
      </c>
      <c r="CG34" s="441">
        <v>1530</v>
      </c>
      <c r="CH34" s="441">
        <v>1459</v>
      </c>
      <c r="CI34" s="441">
        <v>1523</v>
      </c>
      <c r="CJ34" s="441">
        <v>1534</v>
      </c>
      <c r="CK34" s="441">
        <v>1439</v>
      </c>
      <c r="CL34" s="441">
        <v>1463</v>
      </c>
      <c r="CM34" s="441">
        <v>1697</v>
      </c>
      <c r="CN34" s="441">
        <v>1568</v>
      </c>
      <c r="CO34" s="441">
        <v>1703</v>
      </c>
      <c r="CP34" s="441">
        <v>1665</v>
      </c>
      <c r="CQ34" s="441">
        <v>1897</v>
      </c>
      <c r="CR34" s="441">
        <v>1703</v>
      </c>
      <c r="CS34" s="441">
        <v>1897</v>
      </c>
      <c r="CT34" s="441">
        <v>1158</v>
      </c>
      <c r="CU34" s="441">
        <v>1074</v>
      </c>
      <c r="CV34" s="441">
        <v>920</v>
      </c>
      <c r="CW34" s="441">
        <v>875</v>
      </c>
      <c r="CX34" s="441">
        <v>770</v>
      </c>
      <c r="CY34" s="441">
        <v>678</v>
      </c>
      <c r="CZ34" s="441">
        <v>644</v>
      </c>
      <c r="DA34" s="441">
        <v>534</v>
      </c>
      <c r="DB34" s="441">
        <v>543</v>
      </c>
      <c r="DC34" s="441">
        <v>559</v>
      </c>
      <c r="DD34" s="441">
        <v>606</v>
      </c>
      <c r="DE34" s="441">
        <v>549</v>
      </c>
      <c r="DF34" s="441">
        <v>480</v>
      </c>
      <c r="DG34" s="441">
        <v>506</v>
      </c>
      <c r="DH34" s="441">
        <v>591</v>
      </c>
      <c r="DI34" s="441">
        <v>634</v>
      </c>
      <c r="DJ34" s="441">
        <v>673</v>
      </c>
      <c r="DK34" s="441">
        <v>667</v>
      </c>
      <c r="DL34" s="441">
        <v>746</v>
      </c>
      <c r="DM34" s="441">
        <v>746</v>
      </c>
      <c r="DN34" s="441">
        <v>860</v>
      </c>
      <c r="DO34" s="441">
        <v>947</v>
      </c>
      <c r="DP34" s="441">
        <v>987</v>
      </c>
      <c r="DQ34" s="441">
        <v>1091</v>
      </c>
      <c r="DR34" s="441">
        <v>1013</v>
      </c>
      <c r="DS34" s="441">
        <v>1013</v>
      </c>
      <c r="DT34" s="441">
        <v>1003</v>
      </c>
      <c r="DU34" s="441">
        <v>1024</v>
      </c>
      <c r="DV34" s="441">
        <v>1345</v>
      </c>
      <c r="DW34" s="441">
        <v>1199</v>
      </c>
      <c r="DX34" s="441">
        <v>1126</v>
      </c>
      <c r="DY34" s="441">
        <v>1292</v>
      </c>
      <c r="DZ34" s="441">
        <v>1451</v>
      </c>
      <c r="EA34" s="441">
        <v>1493</v>
      </c>
      <c r="EB34" s="441">
        <v>1408</v>
      </c>
      <c r="EC34" s="441">
        <v>1631</v>
      </c>
      <c r="ED34" s="441">
        <v>1615</v>
      </c>
      <c r="EE34" s="441">
        <v>1758</v>
      </c>
      <c r="EF34" s="441">
        <v>1750</v>
      </c>
      <c r="EG34" s="441">
        <v>1832</v>
      </c>
      <c r="EH34" s="441">
        <v>2012</v>
      </c>
      <c r="EI34" s="441">
        <v>1964</v>
      </c>
      <c r="EJ34" s="441">
        <v>2095</v>
      </c>
      <c r="EK34" s="441">
        <v>2141</v>
      </c>
      <c r="EL34" s="441">
        <v>2086</v>
      </c>
      <c r="EM34" s="441">
        <v>2269</v>
      </c>
      <c r="EN34" s="441">
        <v>2256</v>
      </c>
      <c r="EO34" s="441">
        <v>2025</v>
      </c>
      <c r="EP34" s="441">
        <v>1951</v>
      </c>
      <c r="EQ34" s="441">
        <v>1406</v>
      </c>
      <c r="ER34" s="441">
        <v>1437</v>
      </c>
      <c r="ES34" s="441">
        <v>1394</v>
      </c>
      <c r="ET34" s="441">
        <v>1395</v>
      </c>
      <c r="EU34" s="441">
        <v>1295</v>
      </c>
      <c r="EV34" s="441">
        <v>1075</v>
      </c>
      <c r="EW34" s="441">
        <v>1020</v>
      </c>
      <c r="EX34" s="441">
        <v>814</v>
      </c>
      <c r="EY34" s="441">
        <v>871</v>
      </c>
      <c r="EZ34" s="441">
        <v>804</v>
      </c>
      <c r="FA34" s="441">
        <v>760</v>
      </c>
      <c r="FB34" s="441">
        <v>814</v>
      </c>
      <c r="FC34" s="441">
        <v>823</v>
      </c>
      <c r="FD34" s="441">
        <v>843</v>
      </c>
      <c r="FE34" s="441">
        <v>850</v>
      </c>
      <c r="FF34" s="441">
        <v>938</v>
      </c>
      <c r="FG34" s="441">
        <v>951</v>
      </c>
      <c r="FH34" s="441">
        <v>908</v>
      </c>
      <c r="FI34" s="441">
        <v>766</v>
      </c>
      <c r="FJ34" s="441">
        <v>588</v>
      </c>
      <c r="FK34" s="441">
        <v>656</v>
      </c>
      <c r="FL34" s="441">
        <v>767</v>
      </c>
      <c r="FM34" s="441">
        <v>656</v>
      </c>
      <c r="FN34" s="441">
        <v>587</v>
      </c>
      <c r="FO34" s="441">
        <v>611</v>
      </c>
      <c r="FP34" s="441">
        <v>608</v>
      </c>
      <c r="FQ34" s="441">
        <v>555</v>
      </c>
      <c r="FR34" s="441">
        <v>615</v>
      </c>
      <c r="FS34" s="441">
        <v>552</v>
      </c>
      <c r="FT34" s="441">
        <v>446</v>
      </c>
      <c r="FU34" s="441">
        <v>470</v>
      </c>
      <c r="FV34" s="441">
        <v>435</v>
      </c>
      <c r="FW34" s="441">
        <v>468</v>
      </c>
      <c r="FX34" s="441">
        <v>427</v>
      </c>
      <c r="FY34" s="441">
        <v>382</v>
      </c>
      <c r="FZ34" s="441">
        <v>350</v>
      </c>
      <c r="GA34" s="441">
        <v>317</v>
      </c>
      <c r="GB34" s="441">
        <v>402</v>
      </c>
      <c r="GC34" s="441">
        <v>306</v>
      </c>
      <c r="GD34" s="441">
        <v>336</v>
      </c>
      <c r="GE34" s="441">
        <v>357</v>
      </c>
      <c r="GF34" s="441">
        <v>301</v>
      </c>
      <c r="GG34" s="441">
        <v>328</v>
      </c>
      <c r="GH34" s="441">
        <v>399</v>
      </c>
      <c r="GI34" s="441">
        <v>380</v>
      </c>
      <c r="GJ34" s="441">
        <v>413</v>
      </c>
      <c r="GK34" s="430">
        <v>431</v>
      </c>
    </row>
    <row r="35" spans="1:193">
      <c r="A35" s="231" t="s">
        <v>15</v>
      </c>
      <c r="B35" s="442">
        <v>8329</v>
      </c>
      <c r="C35" s="442">
        <v>8272</v>
      </c>
      <c r="D35" s="442">
        <v>9308</v>
      </c>
      <c r="E35" s="442">
        <v>8959</v>
      </c>
      <c r="F35" s="442">
        <v>8831</v>
      </c>
      <c r="G35" s="442">
        <v>8853</v>
      </c>
      <c r="H35" s="442">
        <v>8573</v>
      </c>
      <c r="I35" s="442">
        <v>8644</v>
      </c>
      <c r="J35" s="442">
        <v>8307</v>
      </c>
      <c r="K35" s="442">
        <v>8476</v>
      </c>
      <c r="L35" s="442">
        <v>8342</v>
      </c>
      <c r="M35" s="442">
        <v>8168</v>
      </c>
      <c r="N35" s="442">
        <v>8750</v>
      </c>
      <c r="O35" s="442">
        <v>8329</v>
      </c>
      <c r="P35" s="442">
        <v>8747</v>
      </c>
      <c r="Q35" s="442">
        <v>8380</v>
      </c>
      <c r="R35" s="442">
        <v>8396</v>
      </c>
      <c r="S35" s="442">
        <v>7980</v>
      </c>
      <c r="T35" s="442">
        <v>9422</v>
      </c>
      <c r="U35" s="442">
        <v>8442</v>
      </c>
      <c r="V35" s="442">
        <v>9198</v>
      </c>
      <c r="W35" s="442">
        <v>8890</v>
      </c>
      <c r="X35" s="442">
        <v>8471</v>
      </c>
      <c r="Y35" s="442">
        <v>8065</v>
      </c>
      <c r="Z35" s="442">
        <v>7877</v>
      </c>
      <c r="AA35" s="442">
        <v>7503</v>
      </c>
      <c r="AB35" s="442">
        <v>8534</v>
      </c>
      <c r="AC35" s="442">
        <v>7684</v>
      </c>
      <c r="AD35" s="442">
        <v>7941</v>
      </c>
      <c r="AE35" s="442">
        <v>7766</v>
      </c>
      <c r="AF35" s="442">
        <v>7963</v>
      </c>
      <c r="AG35" s="442">
        <v>8020</v>
      </c>
      <c r="AH35" s="442">
        <v>7973</v>
      </c>
      <c r="AI35" s="442">
        <v>8036</v>
      </c>
      <c r="AJ35" s="442">
        <v>8470</v>
      </c>
      <c r="AK35" s="442">
        <v>8066</v>
      </c>
      <c r="AL35" s="442">
        <v>8145</v>
      </c>
      <c r="AM35" s="442">
        <v>8982</v>
      </c>
      <c r="AN35" s="442">
        <v>9260</v>
      </c>
      <c r="AO35" s="442">
        <v>8473</v>
      </c>
      <c r="AP35" s="442">
        <v>9181</v>
      </c>
      <c r="AQ35" s="442">
        <v>8766</v>
      </c>
      <c r="AR35" s="442">
        <v>8899</v>
      </c>
      <c r="AS35" s="442">
        <v>8578</v>
      </c>
      <c r="AT35" s="442">
        <v>8477</v>
      </c>
      <c r="AU35" s="442">
        <v>8340</v>
      </c>
      <c r="AV35" s="442">
        <v>8187</v>
      </c>
      <c r="AW35" s="442">
        <v>7473</v>
      </c>
      <c r="AX35" s="442">
        <v>7317</v>
      </c>
      <c r="AY35" s="442">
        <v>7167</v>
      </c>
      <c r="AZ35" s="442">
        <v>7482</v>
      </c>
      <c r="BA35" s="442">
        <v>7348</v>
      </c>
      <c r="BB35" s="442">
        <v>7487</v>
      </c>
      <c r="BC35" s="442">
        <v>7191</v>
      </c>
      <c r="BD35" s="442">
        <v>7159</v>
      </c>
      <c r="BE35" s="442">
        <v>7572</v>
      </c>
      <c r="BF35" s="442">
        <v>7537</v>
      </c>
      <c r="BG35" s="442">
        <v>7523</v>
      </c>
      <c r="BH35" s="442">
        <v>7549</v>
      </c>
      <c r="BI35" s="442">
        <v>6889</v>
      </c>
      <c r="BJ35" s="442">
        <v>6597</v>
      </c>
      <c r="BK35" s="442">
        <v>6733</v>
      </c>
      <c r="BL35" s="442">
        <v>7135</v>
      </c>
      <c r="BM35" s="442">
        <v>7646</v>
      </c>
      <c r="BN35" s="442">
        <v>7822</v>
      </c>
      <c r="BO35" s="442">
        <v>7338</v>
      </c>
      <c r="BP35" s="442">
        <v>7657</v>
      </c>
      <c r="BQ35" s="442">
        <v>7435</v>
      </c>
      <c r="BR35" s="442">
        <v>7577</v>
      </c>
      <c r="BS35" s="442">
        <v>7709</v>
      </c>
      <c r="BT35" s="442">
        <v>7937</v>
      </c>
      <c r="BU35" s="442">
        <v>7706</v>
      </c>
      <c r="BV35" s="442">
        <v>8063</v>
      </c>
      <c r="BW35" s="442">
        <v>7934</v>
      </c>
      <c r="BX35" s="442">
        <v>8422</v>
      </c>
      <c r="BY35" s="442">
        <v>8054</v>
      </c>
      <c r="BZ35" s="442">
        <v>8540</v>
      </c>
      <c r="CA35" s="442">
        <v>8260</v>
      </c>
      <c r="CB35" s="442">
        <v>8500</v>
      </c>
      <c r="CC35" s="442">
        <v>8791</v>
      </c>
      <c r="CD35" s="442">
        <v>8633</v>
      </c>
      <c r="CE35" s="442">
        <v>8383</v>
      </c>
      <c r="CF35" s="442">
        <v>8639</v>
      </c>
      <c r="CG35" s="442">
        <v>8252</v>
      </c>
      <c r="CH35" s="442">
        <v>8227</v>
      </c>
      <c r="CI35" s="442">
        <v>8263</v>
      </c>
      <c r="CJ35" s="442">
        <v>9274</v>
      </c>
      <c r="CK35" s="442">
        <v>9510</v>
      </c>
      <c r="CL35" s="442">
        <v>10541</v>
      </c>
      <c r="CM35" s="442">
        <v>9654</v>
      </c>
      <c r="CN35" s="442">
        <v>9264</v>
      </c>
      <c r="CO35" s="442">
        <v>10089</v>
      </c>
      <c r="CP35" s="442">
        <v>9658</v>
      </c>
      <c r="CQ35" s="442">
        <v>10795</v>
      </c>
      <c r="CR35" s="442">
        <v>10033</v>
      </c>
      <c r="CS35" s="442">
        <v>9703</v>
      </c>
      <c r="CT35" s="442">
        <v>10240</v>
      </c>
      <c r="CU35" s="442">
        <v>10478</v>
      </c>
      <c r="CV35" s="442">
        <v>11363</v>
      </c>
      <c r="CW35" s="442">
        <v>11090</v>
      </c>
      <c r="CX35" s="442">
        <v>12313</v>
      </c>
      <c r="CY35" s="442">
        <v>11008</v>
      </c>
      <c r="CZ35" s="442">
        <v>10153</v>
      </c>
      <c r="DA35" s="442">
        <v>9803</v>
      </c>
      <c r="DB35" s="442">
        <v>9676</v>
      </c>
      <c r="DC35" s="442">
        <v>10235</v>
      </c>
      <c r="DD35" s="442">
        <v>8555</v>
      </c>
      <c r="DE35" s="442">
        <v>8518</v>
      </c>
      <c r="DF35" s="442">
        <v>8009</v>
      </c>
      <c r="DG35" s="442">
        <v>9187</v>
      </c>
      <c r="DH35" s="442">
        <v>10496</v>
      </c>
      <c r="DI35" s="442">
        <v>10416</v>
      </c>
      <c r="DJ35" s="442">
        <v>10554</v>
      </c>
      <c r="DK35" s="442">
        <v>9977</v>
      </c>
      <c r="DL35" s="442">
        <v>10038</v>
      </c>
      <c r="DM35" s="442">
        <v>10436</v>
      </c>
      <c r="DN35" s="442">
        <v>9819</v>
      </c>
      <c r="DO35" s="442">
        <v>9808</v>
      </c>
      <c r="DP35" s="442">
        <v>10300</v>
      </c>
      <c r="DQ35" s="442">
        <v>9668</v>
      </c>
      <c r="DR35" s="442">
        <v>10209</v>
      </c>
      <c r="DS35" s="442">
        <v>9712</v>
      </c>
      <c r="DT35" s="442">
        <v>10575</v>
      </c>
      <c r="DU35" s="442">
        <v>10338</v>
      </c>
      <c r="DV35" s="442">
        <v>11026</v>
      </c>
      <c r="DW35" s="442">
        <v>10647</v>
      </c>
      <c r="DX35" s="442">
        <v>11187</v>
      </c>
      <c r="DY35" s="442">
        <v>11427</v>
      </c>
      <c r="DZ35" s="442">
        <v>11739</v>
      </c>
      <c r="EA35" s="442">
        <v>12267</v>
      </c>
      <c r="EB35" s="442">
        <v>12261</v>
      </c>
      <c r="EC35" s="442">
        <v>11508</v>
      </c>
      <c r="ED35" s="442">
        <v>11751</v>
      </c>
      <c r="EE35" s="442">
        <v>11858</v>
      </c>
      <c r="EF35" s="442">
        <v>13047</v>
      </c>
      <c r="EG35" s="442">
        <v>12799</v>
      </c>
      <c r="EH35" s="442">
        <v>13307</v>
      </c>
      <c r="EI35" s="442">
        <v>12999</v>
      </c>
      <c r="EJ35" s="442">
        <v>13461</v>
      </c>
      <c r="EK35" s="442">
        <v>13391</v>
      </c>
      <c r="EL35" s="442">
        <v>13361</v>
      </c>
      <c r="EM35" s="442">
        <v>13223</v>
      </c>
      <c r="EN35" s="442">
        <v>12346</v>
      </c>
      <c r="EO35" s="442">
        <v>11705</v>
      </c>
      <c r="EP35" s="442">
        <v>12172</v>
      </c>
      <c r="EQ35" s="442">
        <v>12189</v>
      </c>
      <c r="ER35" s="442">
        <v>12530</v>
      </c>
      <c r="ES35" s="442">
        <v>12142</v>
      </c>
      <c r="ET35" s="442">
        <v>13006</v>
      </c>
      <c r="EU35" s="442">
        <v>12011</v>
      </c>
      <c r="EV35" s="442">
        <v>11441</v>
      </c>
      <c r="EW35" s="442">
        <v>10523</v>
      </c>
      <c r="EX35" s="442">
        <v>10518</v>
      </c>
      <c r="EY35" s="442">
        <v>9657</v>
      </c>
      <c r="EZ35" s="442">
        <v>10343</v>
      </c>
      <c r="FA35" s="442">
        <v>8633</v>
      </c>
      <c r="FB35" s="442">
        <v>8689</v>
      </c>
      <c r="FC35" s="442">
        <v>8426</v>
      </c>
      <c r="FD35" s="442">
        <v>9082</v>
      </c>
      <c r="FE35" s="442">
        <v>9235</v>
      </c>
      <c r="FF35" s="442">
        <v>9142</v>
      </c>
      <c r="FG35" s="442">
        <v>8712</v>
      </c>
      <c r="FH35" s="442">
        <v>8802</v>
      </c>
      <c r="FI35" s="442">
        <v>9504</v>
      </c>
      <c r="FJ35" s="442">
        <v>9103</v>
      </c>
      <c r="FK35" s="442">
        <v>9913</v>
      </c>
      <c r="FL35" s="442">
        <v>9434</v>
      </c>
      <c r="FM35" s="442">
        <v>8907</v>
      </c>
      <c r="FN35" s="442">
        <v>9002</v>
      </c>
      <c r="FO35" s="442">
        <v>9295</v>
      </c>
      <c r="FP35" s="442">
        <v>10282</v>
      </c>
      <c r="FQ35" s="442">
        <v>9937</v>
      </c>
      <c r="FR35" s="442">
        <v>9886</v>
      </c>
      <c r="FS35" s="442">
        <v>9790</v>
      </c>
      <c r="FT35" s="442">
        <v>10148</v>
      </c>
      <c r="FU35" s="442">
        <v>10335</v>
      </c>
      <c r="FV35" s="442">
        <v>10109</v>
      </c>
      <c r="FW35" s="442">
        <v>11337</v>
      </c>
      <c r="FX35" s="442">
        <v>11198</v>
      </c>
      <c r="FY35" s="442">
        <v>10758</v>
      </c>
      <c r="FZ35" s="442">
        <v>11188</v>
      </c>
      <c r="GA35" s="442">
        <v>11416</v>
      </c>
      <c r="GB35" s="442">
        <v>12071</v>
      </c>
      <c r="GC35" s="442">
        <v>12653</v>
      </c>
      <c r="GD35" s="442">
        <v>12569</v>
      </c>
      <c r="GE35" s="442">
        <v>12491</v>
      </c>
      <c r="GF35" s="442">
        <v>13350</v>
      </c>
      <c r="GG35" s="442">
        <v>13077</v>
      </c>
      <c r="GH35" s="442">
        <v>13142</v>
      </c>
      <c r="GI35" s="442">
        <v>14038</v>
      </c>
      <c r="GJ35" s="442">
        <v>13667</v>
      </c>
      <c r="GK35" s="431">
        <v>12655</v>
      </c>
    </row>
    <row r="36" spans="1:193">
      <c r="A36" s="231" t="s">
        <v>345</v>
      </c>
      <c r="B36" s="348">
        <v>779</v>
      </c>
      <c r="C36" s="348">
        <v>780</v>
      </c>
      <c r="D36" s="348">
        <v>774</v>
      </c>
      <c r="E36" s="348">
        <v>801</v>
      </c>
      <c r="F36" s="348">
        <v>820</v>
      </c>
      <c r="G36" s="348">
        <v>1046</v>
      </c>
      <c r="H36" s="348">
        <v>869</v>
      </c>
      <c r="I36" s="348">
        <v>827</v>
      </c>
      <c r="J36" s="348">
        <v>611</v>
      </c>
      <c r="K36" s="348">
        <v>817</v>
      </c>
      <c r="L36" s="348">
        <v>846</v>
      </c>
      <c r="M36" s="348">
        <v>1019</v>
      </c>
      <c r="N36" s="348">
        <v>839</v>
      </c>
      <c r="O36" s="348">
        <v>943</v>
      </c>
      <c r="P36" s="348">
        <v>1471</v>
      </c>
      <c r="Q36" s="348">
        <v>1618</v>
      </c>
      <c r="R36" s="348">
        <v>1063</v>
      </c>
      <c r="S36" s="348">
        <v>927</v>
      </c>
      <c r="T36" s="348">
        <v>747</v>
      </c>
      <c r="U36" s="348">
        <v>743</v>
      </c>
      <c r="V36" s="348">
        <v>859</v>
      </c>
      <c r="W36" s="348">
        <v>758</v>
      </c>
      <c r="X36" s="348">
        <v>803</v>
      </c>
      <c r="Y36" s="348">
        <v>790</v>
      </c>
      <c r="Z36" s="348">
        <v>784</v>
      </c>
      <c r="AA36" s="348">
        <v>920</v>
      </c>
      <c r="AB36" s="348">
        <v>1229</v>
      </c>
      <c r="AC36" s="348">
        <v>971</v>
      </c>
      <c r="AD36" s="348">
        <v>957</v>
      </c>
      <c r="AE36" s="348">
        <v>898</v>
      </c>
      <c r="AF36" s="348">
        <v>1048</v>
      </c>
      <c r="AG36" s="348">
        <v>1215</v>
      </c>
      <c r="AH36" s="348">
        <v>999</v>
      </c>
      <c r="AI36" s="348">
        <v>1309</v>
      </c>
      <c r="AJ36" s="348">
        <v>1072</v>
      </c>
      <c r="AK36" s="348">
        <v>963</v>
      </c>
      <c r="AL36" s="348">
        <v>1356</v>
      </c>
      <c r="AM36" s="348">
        <v>1486</v>
      </c>
      <c r="AN36" s="348">
        <v>1431</v>
      </c>
      <c r="AO36" s="348">
        <v>1253</v>
      </c>
      <c r="AP36" s="348">
        <v>1242</v>
      </c>
      <c r="AQ36" s="348">
        <v>849</v>
      </c>
      <c r="AR36" s="348">
        <v>1481</v>
      </c>
      <c r="AS36" s="348">
        <v>1367</v>
      </c>
      <c r="AT36" s="348">
        <v>1102</v>
      </c>
      <c r="AU36" s="348">
        <v>1321</v>
      </c>
      <c r="AV36" s="348">
        <v>1093</v>
      </c>
      <c r="AW36" s="348">
        <v>1120</v>
      </c>
      <c r="AX36" s="348">
        <v>867</v>
      </c>
      <c r="AY36" s="348">
        <v>1022</v>
      </c>
      <c r="AZ36" s="348">
        <v>1095</v>
      </c>
      <c r="BA36" s="348">
        <v>1144</v>
      </c>
      <c r="BB36" s="348">
        <v>1022</v>
      </c>
      <c r="BC36" s="348">
        <v>1078</v>
      </c>
      <c r="BD36" s="348">
        <v>1138</v>
      </c>
      <c r="BE36" s="348">
        <v>1357</v>
      </c>
      <c r="BF36" s="348">
        <v>972</v>
      </c>
      <c r="BG36" s="348">
        <v>1072</v>
      </c>
      <c r="BH36" s="348">
        <v>1194</v>
      </c>
      <c r="BI36" s="348">
        <v>1102</v>
      </c>
      <c r="BJ36" s="348">
        <v>1251</v>
      </c>
      <c r="BK36" s="348">
        <v>1302</v>
      </c>
      <c r="BL36" s="348">
        <v>1286</v>
      </c>
      <c r="BM36" s="348">
        <v>1531</v>
      </c>
      <c r="BN36" s="348">
        <v>1455</v>
      </c>
      <c r="BO36" s="348">
        <v>1163</v>
      </c>
      <c r="BP36" s="348">
        <v>1123</v>
      </c>
      <c r="BQ36" s="348">
        <v>1238</v>
      </c>
      <c r="BR36" s="348">
        <v>1085</v>
      </c>
      <c r="BS36" s="348">
        <v>1027</v>
      </c>
      <c r="BT36" s="348">
        <v>1079</v>
      </c>
      <c r="BU36" s="348">
        <v>946</v>
      </c>
      <c r="BV36" s="348">
        <v>1331</v>
      </c>
      <c r="BW36" s="348">
        <v>1103</v>
      </c>
      <c r="BX36" s="348">
        <v>1221</v>
      </c>
      <c r="BY36" s="348">
        <v>1146</v>
      </c>
      <c r="BZ36" s="348">
        <v>1080</v>
      </c>
      <c r="CA36" s="348">
        <v>1404</v>
      </c>
      <c r="CB36" s="348">
        <v>1261</v>
      </c>
      <c r="CC36" s="348">
        <v>840</v>
      </c>
      <c r="CD36" s="348">
        <v>962</v>
      </c>
      <c r="CE36" s="348">
        <v>1029</v>
      </c>
      <c r="CF36" s="441">
        <v>1227</v>
      </c>
      <c r="CG36" s="441">
        <v>1005</v>
      </c>
      <c r="CH36" s="441">
        <v>1224</v>
      </c>
      <c r="CI36" s="441">
        <v>1486</v>
      </c>
      <c r="CJ36" s="441">
        <v>1088</v>
      </c>
      <c r="CK36" s="441">
        <v>1127</v>
      </c>
      <c r="CL36" s="441">
        <v>1040</v>
      </c>
      <c r="CM36" s="441">
        <v>967</v>
      </c>
      <c r="CN36" s="441">
        <v>1063</v>
      </c>
      <c r="CO36" s="441">
        <v>854</v>
      </c>
      <c r="CP36" s="441">
        <v>882</v>
      </c>
      <c r="CQ36" s="441">
        <v>1024</v>
      </c>
      <c r="CR36" s="441">
        <v>1094</v>
      </c>
      <c r="CS36" s="441">
        <v>1204</v>
      </c>
      <c r="CT36" s="441">
        <v>1000</v>
      </c>
      <c r="CU36" s="441">
        <v>944</v>
      </c>
      <c r="CV36" s="441">
        <v>1064</v>
      </c>
      <c r="CW36" s="441">
        <v>1143</v>
      </c>
      <c r="CX36" s="441">
        <v>997</v>
      </c>
      <c r="CY36" s="441">
        <v>897</v>
      </c>
      <c r="CZ36" s="441">
        <v>892</v>
      </c>
      <c r="DA36" s="441">
        <v>657</v>
      </c>
      <c r="DB36" s="441">
        <v>669</v>
      </c>
      <c r="DC36" s="441">
        <v>774</v>
      </c>
      <c r="DD36" s="441">
        <v>637</v>
      </c>
      <c r="DE36" s="441">
        <v>704</v>
      </c>
      <c r="DF36" s="441">
        <v>673</v>
      </c>
      <c r="DG36" s="441">
        <v>685</v>
      </c>
      <c r="DH36" s="441">
        <v>752</v>
      </c>
      <c r="DI36" s="441">
        <v>668</v>
      </c>
      <c r="DJ36" s="441">
        <v>675</v>
      </c>
      <c r="DK36" s="441">
        <v>603</v>
      </c>
      <c r="DL36" s="441">
        <v>475</v>
      </c>
      <c r="DM36" s="441">
        <v>430</v>
      </c>
      <c r="DN36" s="441">
        <v>432</v>
      </c>
      <c r="DO36" s="441">
        <v>494</v>
      </c>
      <c r="DP36" s="441">
        <v>957</v>
      </c>
      <c r="DQ36" s="441">
        <v>464</v>
      </c>
      <c r="DR36" s="441">
        <v>490</v>
      </c>
      <c r="DS36" s="441">
        <v>588</v>
      </c>
      <c r="DT36" s="441">
        <v>650</v>
      </c>
      <c r="DU36" s="441">
        <v>598</v>
      </c>
      <c r="DV36" s="441">
        <v>826</v>
      </c>
      <c r="DW36" s="441">
        <v>655</v>
      </c>
      <c r="DX36" s="441">
        <v>701</v>
      </c>
      <c r="DY36" s="441">
        <v>784</v>
      </c>
      <c r="DZ36" s="441">
        <v>939</v>
      </c>
      <c r="EA36" s="441">
        <v>940</v>
      </c>
      <c r="EB36" s="441">
        <v>965</v>
      </c>
      <c r="EC36" s="441">
        <v>847</v>
      </c>
      <c r="ED36" s="441">
        <v>860</v>
      </c>
      <c r="EE36" s="441">
        <v>1439</v>
      </c>
      <c r="EF36" s="441">
        <v>1298</v>
      </c>
      <c r="EG36" s="441">
        <v>909</v>
      </c>
      <c r="EH36" s="441">
        <v>1288</v>
      </c>
      <c r="EI36" s="441">
        <v>908</v>
      </c>
      <c r="EJ36" s="441">
        <v>861</v>
      </c>
      <c r="EK36" s="441">
        <v>932</v>
      </c>
      <c r="EL36" s="441">
        <v>729</v>
      </c>
      <c r="EM36" s="441">
        <v>865</v>
      </c>
      <c r="EN36" s="441">
        <v>811</v>
      </c>
      <c r="EO36" s="441">
        <v>772</v>
      </c>
      <c r="EP36" s="441">
        <v>812</v>
      </c>
      <c r="EQ36" s="441">
        <v>847</v>
      </c>
      <c r="ER36" s="441">
        <v>788</v>
      </c>
      <c r="ES36" s="441">
        <v>814</v>
      </c>
      <c r="ET36" s="441">
        <v>694</v>
      </c>
      <c r="EU36" s="441">
        <v>533</v>
      </c>
      <c r="EV36" s="441">
        <v>576</v>
      </c>
      <c r="EW36" s="441">
        <v>519</v>
      </c>
      <c r="EX36" s="441">
        <v>551</v>
      </c>
      <c r="EY36" s="441">
        <v>566</v>
      </c>
      <c r="EZ36" s="441">
        <v>733</v>
      </c>
      <c r="FA36" s="441">
        <v>656</v>
      </c>
      <c r="FB36" s="441">
        <v>673</v>
      </c>
      <c r="FC36" s="441">
        <v>747</v>
      </c>
      <c r="FD36" s="441">
        <v>1234</v>
      </c>
      <c r="FE36" s="441">
        <v>672</v>
      </c>
      <c r="FF36" s="441">
        <v>610</v>
      </c>
      <c r="FG36" s="441">
        <v>420</v>
      </c>
      <c r="FH36" s="441">
        <v>473</v>
      </c>
      <c r="FI36" s="441">
        <v>511</v>
      </c>
      <c r="FJ36" s="441">
        <v>514</v>
      </c>
      <c r="FK36" s="441">
        <v>572</v>
      </c>
      <c r="FL36" s="441">
        <v>588</v>
      </c>
      <c r="FM36" s="441">
        <v>565</v>
      </c>
      <c r="FN36" s="441">
        <v>690</v>
      </c>
      <c r="FO36" s="441">
        <v>643</v>
      </c>
      <c r="FP36" s="441">
        <v>778</v>
      </c>
      <c r="FQ36" s="441">
        <v>682</v>
      </c>
      <c r="FR36" s="441">
        <v>726</v>
      </c>
      <c r="FS36" s="441">
        <v>691</v>
      </c>
      <c r="FT36" s="441">
        <v>713</v>
      </c>
      <c r="FU36" s="441">
        <v>697</v>
      </c>
      <c r="FV36" s="441">
        <v>712</v>
      </c>
      <c r="FW36" s="441">
        <v>671</v>
      </c>
      <c r="FX36" s="441">
        <v>648</v>
      </c>
      <c r="FY36" s="441">
        <v>475</v>
      </c>
      <c r="FZ36" s="441">
        <v>461</v>
      </c>
      <c r="GA36" s="441">
        <v>661</v>
      </c>
      <c r="GB36" s="441">
        <v>672</v>
      </c>
      <c r="GC36" s="441">
        <v>542</v>
      </c>
      <c r="GD36" s="441">
        <v>536</v>
      </c>
      <c r="GE36" s="441">
        <v>548</v>
      </c>
      <c r="GF36" s="441">
        <v>519</v>
      </c>
      <c r="GG36" s="441">
        <v>460</v>
      </c>
      <c r="GH36" s="441">
        <v>473</v>
      </c>
      <c r="GI36" s="441">
        <v>485</v>
      </c>
      <c r="GJ36" s="441">
        <v>546</v>
      </c>
      <c r="GK36" s="430">
        <v>463</v>
      </c>
    </row>
    <row r="37" spans="1:193">
      <c r="A37" s="231" t="s">
        <v>239</v>
      </c>
      <c r="B37" s="442">
        <v>2425</v>
      </c>
      <c r="C37" s="442">
        <v>2747</v>
      </c>
      <c r="D37" s="442">
        <v>3272</v>
      </c>
      <c r="E37" s="442">
        <v>3091</v>
      </c>
      <c r="F37" s="442">
        <v>3291</v>
      </c>
      <c r="G37" s="442">
        <v>2918</v>
      </c>
      <c r="H37" s="442">
        <v>3054</v>
      </c>
      <c r="I37" s="442">
        <v>3636</v>
      </c>
      <c r="J37" s="442">
        <v>3489</v>
      </c>
      <c r="K37" s="442">
        <v>3609</v>
      </c>
      <c r="L37" s="442">
        <v>4120</v>
      </c>
      <c r="M37" s="442">
        <v>3182</v>
      </c>
      <c r="N37" s="442">
        <v>2943</v>
      </c>
      <c r="O37" s="442">
        <v>2656</v>
      </c>
      <c r="P37" s="442">
        <v>2886</v>
      </c>
      <c r="Q37" s="442">
        <v>2445</v>
      </c>
      <c r="R37" s="442">
        <v>2754</v>
      </c>
      <c r="S37" s="442">
        <v>2277</v>
      </c>
      <c r="T37" s="442">
        <v>2753</v>
      </c>
      <c r="U37" s="442">
        <v>3207</v>
      </c>
      <c r="V37" s="442">
        <v>3404</v>
      </c>
      <c r="W37" s="442">
        <v>3691</v>
      </c>
      <c r="X37" s="442">
        <v>4095</v>
      </c>
      <c r="Y37" s="442">
        <v>4028</v>
      </c>
      <c r="Z37" s="442">
        <v>4251</v>
      </c>
      <c r="AA37" s="442">
        <v>4280</v>
      </c>
      <c r="AB37" s="442">
        <v>4808</v>
      </c>
      <c r="AC37" s="442">
        <v>4144</v>
      </c>
      <c r="AD37" s="442">
        <v>5014</v>
      </c>
      <c r="AE37" s="442">
        <v>4421</v>
      </c>
      <c r="AF37" s="442">
        <v>4514</v>
      </c>
      <c r="AG37" s="442">
        <v>4858</v>
      </c>
      <c r="AH37" s="442">
        <v>5063</v>
      </c>
      <c r="AI37" s="442">
        <v>5205</v>
      </c>
      <c r="AJ37" s="442">
        <v>5203</v>
      </c>
      <c r="AK37" s="442">
        <v>4909</v>
      </c>
      <c r="AL37" s="442">
        <v>5361</v>
      </c>
      <c r="AM37" s="442">
        <v>5321</v>
      </c>
      <c r="AN37" s="442">
        <v>5660</v>
      </c>
      <c r="AO37" s="442">
        <v>5899</v>
      </c>
      <c r="AP37" s="442">
        <v>6252</v>
      </c>
      <c r="AQ37" s="442">
        <v>6089</v>
      </c>
      <c r="AR37" s="442">
        <v>6056</v>
      </c>
      <c r="AS37" s="442">
        <v>5788</v>
      </c>
      <c r="AT37" s="442">
        <v>6653</v>
      </c>
      <c r="AU37" s="442">
        <v>6678</v>
      </c>
      <c r="AV37" s="442">
        <v>6171</v>
      </c>
      <c r="AW37" s="442">
        <v>5079</v>
      </c>
      <c r="AX37" s="442">
        <v>5409</v>
      </c>
      <c r="AY37" s="442">
        <v>5303</v>
      </c>
      <c r="AZ37" s="442">
        <v>6218</v>
      </c>
      <c r="BA37" s="442">
        <v>6158</v>
      </c>
      <c r="BB37" s="442">
        <v>6538</v>
      </c>
      <c r="BC37" s="442">
        <v>6280</v>
      </c>
      <c r="BD37" s="442">
        <v>7129</v>
      </c>
      <c r="BE37" s="442">
        <v>6650</v>
      </c>
      <c r="BF37" s="442">
        <v>7336</v>
      </c>
      <c r="BG37" s="442">
        <v>7565</v>
      </c>
      <c r="BH37" s="442">
        <v>7638</v>
      </c>
      <c r="BI37" s="442">
        <v>6780</v>
      </c>
      <c r="BJ37" s="442">
        <v>6216</v>
      </c>
      <c r="BK37" s="442">
        <v>7850</v>
      </c>
      <c r="BL37" s="442">
        <v>8519</v>
      </c>
      <c r="BM37" s="442">
        <v>8571</v>
      </c>
      <c r="BN37" s="442">
        <v>9609</v>
      </c>
      <c r="BO37" s="442">
        <v>9579</v>
      </c>
      <c r="BP37" s="442">
        <v>10140</v>
      </c>
      <c r="BQ37" s="442">
        <v>10287</v>
      </c>
      <c r="BR37" s="442">
        <v>11434</v>
      </c>
      <c r="BS37" s="442">
        <v>11579</v>
      </c>
      <c r="BT37" s="442">
        <v>11151</v>
      </c>
      <c r="BU37" s="442">
        <v>9726</v>
      </c>
      <c r="BV37" s="442">
        <v>9158</v>
      </c>
      <c r="BW37" s="442">
        <v>10699</v>
      </c>
      <c r="BX37" s="442">
        <v>10456</v>
      </c>
      <c r="BY37" s="442">
        <v>10503</v>
      </c>
      <c r="BZ37" s="442">
        <v>11415</v>
      </c>
      <c r="CA37" s="442">
        <v>10836</v>
      </c>
      <c r="CB37" s="442">
        <v>11497</v>
      </c>
      <c r="CC37" s="442">
        <v>11626</v>
      </c>
      <c r="CD37" s="442">
        <v>10525</v>
      </c>
      <c r="CE37" s="442">
        <v>10390</v>
      </c>
      <c r="CF37" s="442">
        <v>10739</v>
      </c>
      <c r="CG37" s="442">
        <v>8695</v>
      </c>
      <c r="CH37" s="442">
        <v>9228</v>
      </c>
      <c r="CI37" s="442">
        <v>10115</v>
      </c>
      <c r="CJ37" s="442">
        <v>10123</v>
      </c>
      <c r="CK37" s="442">
        <v>10409</v>
      </c>
      <c r="CL37" s="442">
        <v>11257</v>
      </c>
      <c r="CM37" s="442">
        <v>12255</v>
      </c>
      <c r="CN37" s="442">
        <v>13327</v>
      </c>
      <c r="CO37" s="442">
        <v>14729</v>
      </c>
      <c r="CP37" s="442">
        <v>15323</v>
      </c>
      <c r="CQ37" s="442">
        <v>15437</v>
      </c>
      <c r="CR37" s="442">
        <v>14955</v>
      </c>
      <c r="CS37" s="442">
        <v>12519</v>
      </c>
      <c r="CT37" s="442">
        <v>12268</v>
      </c>
      <c r="CU37" s="442">
        <v>12642</v>
      </c>
      <c r="CV37" s="442">
        <v>14462</v>
      </c>
      <c r="CW37" s="442">
        <v>14169</v>
      </c>
      <c r="CX37" s="442">
        <v>13765</v>
      </c>
      <c r="CY37" s="442">
        <v>13377</v>
      </c>
      <c r="CZ37" s="442">
        <v>14009</v>
      </c>
      <c r="DA37" s="442">
        <v>13203</v>
      </c>
      <c r="DB37" s="442">
        <v>12255</v>
      </c>
      <c r="DC37" s="442">
        <v>12639</v>
      </c>
      <c r="DD37" s="442">
        <v>13142</v>
      </c>
      <c r="DE37" s="442">
        <v>11434</v>
      </c>
      <c r="DF37" s="442">
        <v>10887</v>
      </c>
      <c r="DG37" s="442">
        <v>11315</v>
      </c>
      <c r="DH37" s="442">
        <v>11885</v>
      </c>
      <c r="DI37" s="442">
        <v>11694</v>
      </c>
      <c r="DJ37" s="442">
        <v>12525</v>
      </c>
      <c r="DK37" s="442">
        <v>12740</v>
      </c>
      <c r="DL37" s="442">
        <v>13660</v>
      </c>
      <c r="DM37" s="442">
        <v>13908</v>
      </c>
      <c r="DN37" s="442">
        <v>13846</v>
      </c>
      <c r="DO37" s="442">
        <v>14588</v>
      </c>
      <c r="DP37" s="442">
        <v>14659</v>
      </c>
      <c r="DQ37" s="442">
        <v>13026</v>
      </c>
      <c r="DR37" s="442">
        <v>13807</v>
      </c>
      <c r="DS37" s="442">
        <v>13206</v>
      </c>
      <c r="DT37" s="442">
        <v>14675</v>
      </c>
      <c r="DU37" s="442">
        <v>15312</v>
      </c>
      <c r="DV37" s="442">
        <v>18371</v>
      </c>
      <c r="DW37" s="442">
        <v>17964</v>
      </c>
      <c r="DX37" s="442">
        <v>18530</v>
      </c>
      <c r="DY37" s="442">
        <v>18718</v>
      </c>
      <c r="DZ37" s="442">
        <v>19828</v>
      </c>
      <c r="EA37" s="442">
        <v>20066</v>
      </c>
      <c r="EB37" s="442">
        <v>21047</v>
      </c>
      <c r="EC37" s="442">
        <v>18156</v>
      </c>
      <c r="ED37" s="442">
        <v>23894</v>
      </c>
      <c r="EE37" s="442">
        <v>26461</v>
      </c>
      <c r="EF37" s="442">
        <v>29595</v>
      </c>
      <c r="EG37" s="442">
        <v>28722</v>
      </c>
      <c r="EH37" s="442">
        <v>31935</v>
      </c>
      <c r="EI37" s="442">
        <v>31142</v>
      </c>
      <c r="EJ37" s="442">
        <v>33376</v>
      </c>
      <c r="EK37" s="442">
        <v>34708</v>
      </c>
      <c r="EL37" s="442">
        <v>32130</v>
      </c>
      <c r="EM37" s="442">
        <v>32215</v>
      </c>
      <c r="EN37" s="442">
        <v>30749</v>
      </c>
      <c r="EO37" s="442">
        <v>29525</v>
      </c>
      <c r="EP37" s="442">
        <v>32155</v>
      </c>
      <c r="EQ37" s="442">
        <v>35325</v>
      </c>
      <c r="ER37" s="442">
        <v>34733</v>
      </c>
      <c r="ES37" s="442">
        <v>37024</v>
      </c>
      <c r="ET37" s="442">
        <v>35072</v>
      </c>
      <c r="EU37" s="442">
        <v>34921</v>
      </c>
      <c r="EV37" s="442">
        <v>37838</v>
      </c>
      <c r="EW37" s="442">
        <v>40696</v>
      </c>
      <c r="EX37" s="442">
        <v>36047</v>
      </c>
      <c r="EY37" s="442">
        <v>36272</v>
      </c>
      <c r="EZ37" s="442">
        <v>34593</v>
      </c>
      <c r="FA37" s="442">
        <v>29374</v>
      </c>
      <c r="FB37" s="442">
        <v>29500</v>
      </c>
      <c r="FC37" s="442">
        <v>30514</v>
      </c>
      <c r="FD37" s="442">
        <v>34770</v>
      </c>
      <c r="FE37" s="442">
        <v>33304</v>
      </c>
      <c r="FF37" s="442">
        <v>35362</v>
      </c>
      <c r="FG37" s="442">
        <v>32916</v>
      </c>
      <c r="FH37" s="442">
        <v>32799</v>
      </c>
      <c r="FI37" s="442">
        <v>32897</v>
      </c>
      <c r="FJ37" s="442">
        <v>32752</v>
      </c>
      <c r="FK37" s="442">
        <v>34903</v>
      </c>
      <c r="FL37" s="442">
        <v>33677</v>
      </c>
      <c r="FM37" s="442">
        <v>29422</v>
      </c>
      <c r="FN37" s="442">
        <v>28356</v>
      </c>
      <c r="FO37" s="442">
        <v>28349</v>
      </c>
      <c r="FP37" s="442">
        <v>29923</v>
      </c>
      <c r="FQ37" s="442">
        <v>28109</v>
      </c>
      <c r="FR37" s="442">
        <v>27722</v>
      </c>
      <c r="FS37" s="442">
        <v>27241</v>
      </c>
      <c r="FT37" s="442">
        <v>27798</v>
      </c>
      <c r="FU37" s="442">
        <v>27966</v>
      </c>
      <c r="FV37" s="442">
        <v>28328</v>
      </c>
      <c r="FW37" s="442">
        <v>27359</v>
      </c>
      <c r="FX37" s="442">
        <v>25867</v>
      </c>
      <c r="FY37" s="442">
        <v>24019</v>
      </c>
      <c r="FZ37" s="442">
        <v>22747</v>
      </c>
      <c r="GA37" s="442">
        <v>22878</v>
      </c>
      <c r="GB37" s="442">
        <v>21469</v>
      </c>
      <c r="GC37" s="442">
        <v>21472</v>
      </c>
      <c r="GD37" s="442">
        <v>22793</v>
      </c>
      <c r="GE37" s="442">
        <v>20751</v>
      </c>
      <c r="GF37" s="442">
        <v>23095</v>
      </c>
      <c r="GG37" s="442">
        <v>22509</v>
      </c>
      <c r="GH37" s="442">
        <v>19952</v>
      </c>
      <c r="GI37" s="442">
        <v>21120</v>
      </c>
      <c r="GJ37" s="442">
        <v>22658</v>
      </c>
      <c r="GK37" s="431">
        <v>19700</v>
      </c>
    </row>
    <row r="38" spans="1:193">
      <c r="A38" s="231" t="s">
        <v>241</v>
      </c>
      <c r="B38" s="348">
        <v>2817</v>
      </c>
      <c r="C38" s="348">
        <v>2842</v>
      </c>
      <c r="D38" s="348">
        <v>4239</v>
      </c>
      <c r="E38" s="348">
        <v>2938</v>
      </c>
      <c r="F38" s="348">
        <v>3163</v>
      </c>
      <c r="G38" s="348">
        <v>2971</v>
      </c>
      <c r="H38" s="348">
        <v>3222</v>
      </c>
      <c r="I38" s="348">
        <v>3449</v>
      </c>
      <c r="J38" s="348">
        <v>3543</v>
      </c>
      <c r="K38" s="348">
        <v>3577</v>
      </c>
      <c r="L38" s="348">
        <v>3313</v>
      </c>
      <c r="M38" s="348">
        <v>2803</v>
      </c>
      <c r="N38" s="348">
        <v>2775</v>
      </c>
      <c r="O38" s="348">
        <v>2766</v>
      </c>
      <c r="P38" s="348">
        <v>3051</v>
      </c>
      <c r="Q38" s="348">
        <v>3454</v>
      </c>
      <c r="R38" s="348">
        <v>3357</v>
      </c>
      <c r="S38" s="348">
        <v>2806</v>
      </c>
      <c r="T38" s="348">
        <v>3381</v>
      </c>
      <c r="U38" s="348">
        <v>3519</v>
      </c>
      <c r="V38" s="348">
        <v>3284</v>
      </c>
      <c r="W38" s="348">
        <v>3230</v>
      </c>
      <c r="X38" s="348">
        <v>3494</v>
      </c>
      <c r="Y38" s="348">
        <v>3230</v>
      </c>
      <c r="Z38" s="348">
        <v>3189</v>
      </c>
      <c r="AA38" s="348">
        <v>3264</v>
      </c>
      <c r="AB38" s="348">
        <v>3602</v>
      </c>
      <c r="AC38" s="348">
        <v>3789</v>
      </c>
      <c r="AD38" s="348">
        <v>4388</v>
      </c>
      <c r="AE38" s="348">
        <v>3649</v>
      </c>
      <c r="AF38" s="348">
        <v>3554</v>
      </c>
      <c r="AG38" s="348">
        <v>3576</v>
      </c>
      <c r="AH38" s="348">
        <v>3463</v>
      </c>
      <c r="AI38" s="348">
        <v>3356</v>
      </c>
      <c r="AJ38" s="348">
        <v>3321</v>
      </c>
      <c r="AK38" s="348">
        <v>3096</v>
      </c>
      <c r="AL38" s="348">
        <v>3169</v>
      </c>
      <c r="AM38" s="348">
        <v>3351</v>
      </c>
      <c r="AN38" s="348">
        <v>4309</v>
      </c>
      <c r="AO38" s="348">
        <v>3969</v>
      </c>
      <c r="AP38" s="348">
        <v>4209</v>
      </c>
      <c r="AQ38" s="348">
        <v>4573</v>
      </c>
      <c r="AR38" s="348">
        <v>4297</v>
      </c>
      <c r="AS38" s="348">
        <v>4377</v>
      </c>
      <c r="AT38" s="348">
        <v>4502</v>
      </c>
      <c r="AU38" s="348">
        <v>4744</v>
      </c>
      <c r="AV38" s="348">
        <v>4826</v>
      </c>
      <c r="AW38" s="348">
        <v>4563</v>
      </c>
      <c r="AX38" s="348">
        <v>4772</v>
      </c>
      <c r="AY38" s="348">
        <v>4824</v>
      </c>
      <c r="AZ38" s="348">
        <v>5383</v>
      </c>
      <c r="BA38" s="348">
        <v>5602</v>
      </c>
      <c r="BB38" s="348">
        <v>5714</v>
      </c>
      <c r="BC38" s="348">
        <v>5363</v>
      </c>
      <c r="BD38" s="348">
        <v>6200</v>
      </c>
      <c r="BE38" s="348">
        <v>5558</v>
      </c>
      <c r="BF38" s="348">
        <v>5291</v>
      </c>
      <c r="BG38" s="348">
        <v>5561</v>
      </c>
      <c r="BH38" s="348">
        <v>5767</v>
      </c>
      <c r="BI38" s="348">
        <v>5088</v>
      </c>
      <c r="BJ38" s="348">
        <v>5449</v>
      </c>
      <c r="BK38" s="348">
        <v>5652</v>
      </c>
      <c r="BL38" s="348">
        <v>6726</v>
      </c>
      <c r="BM38" s="348">
        <v>6300</v>
      </c>
      <c r="BN38" s="348">
        <v>7108</v>
      </c>
      <c r="BO38" s="348">
        <v>7733</v>
      </c>
      <c r="BP38" s="348">
        <v>7307</v>
      </c>
      <c r="BQ38" s="348">
        <v>8021</v>
      </c>
      <c r="BR38" s="348">
        <v>8277</v>
      </c>
      <c r="BS38" s="348">
        <v>7901</v>
      </c>
      <c r="BT38" s="348">
        <v>8158</v>
      </c>
      <c r="BU38" s="348">
        <v>8067</v>
      </c>
      <c r="BV38" s="348">
        <v>7166</v>
      </c>
      <c r="BW38" s="348">
        <v>8126</v>
      </c>
      <c r="BX38" s="348">
        <v>9959</v>
      </c>
      <c r="BY38" s="348">
        <v>8458</v>
      </c>
      <c r="BZ38" s="348">
        <v>8872</v>
      </c>
      <c r="CA38" s="348">
        <v>8830</v>
      </c>
      <c r="CB38" s="348">
        <v>8395</v>
      </c>
      <c r="CC38" s="348">
        <v>10048</v>
      </c>
      <c r="CD38" s="348">
        <v>9985</v>
      </c>
      <c r="CE38" s="348">
        <v>8034</v>
      </c>
      <c r="CF38" s="441">
        <v>8184</v>
      </c>
      <c r="CG38" s="441">
        <v>6610</v>
      </c>
      <c r="CH38" s="441">
        <v>6662</v>
      </c>
      <c r="CI38" s="441">
        <v>7000</v>
      </c>
      <c r="CJ38" s="441">
        <v>7341</v>
      </c>
      <c r="CK38" s="441">
        <v>7494</v>
      </c>
      <c r="CL38" s="441">
        <v>7836</v>
      </c>
      <c r="CM38" s="441">
        <v>7948</v>
      </c>
      <c r="CN38" s="441">
        <v>9299</v>
      </c>
      <c r="CO38" s="441">
        <v>10328</v>
      </c>
      <c r="CP38" s="441">
        <v>8376</v>
      </c>
      <c r="CQ38" s="441">
        <v>7824</v>
      </c>
      <c r="CR38" s="441">
        <v>6494</v>
      </c>
      <c r="CS38" s="441">
        <v>5587</v>
      </c>
      <c r="CT38" s="441">
        <v>4511</v>
      </c>
      <c r="CU38" s="441">
        <v>3774</v>
      </c>
      <c r="CV38" s="441">
        <v>3889</v>
      </c>
      <c r="CW38" s="441">
        <v>3454</v>
      </c>
      <c r="CX38" s="441">
        <v>3408</v>
      </c>
      <c r="CY38" s="441">
        <v>3391</v>
      </c>
      <c r="CZ38" s="441">
        <v>3033</v>
      </c>
      <c r="DA38" s="441">
        <v>3833</v>
      </c>
      <c r="DB38" s="441">
        <v>2835</v>
      </c>
      <c r="DC38" s="441">
        <v>3177</v>
      </c>
      <c r="DD38" s="441">
        <v>2959</v>
      </c>
      <c r="DE38" s="441">
        <v>2897</v>
      </c>
      <c r="DF38" s="441">
        <v>3027</v>
      </c>
      <c r="DG38" s="441">
        <v>3495</v>
      </c>
      <c r="DH38" s="441">
        <v>3623</v>
      </c>
      <c r="DI38" s="441">
        <v>3448</v>
      </c>
      <c r="DJ38" s="441">
        <v>3912</v>
      </c>
      <c r="DK38" s="441">
        <v>4241</v>
      </c>
      <c r="DL38" s="441">
        <v>4216</v>
      </c>
      <c r="DM38" s="441">
        <v>4445</v>
      </c>
      <c r="DN38" s="441">
        <v>4571</v>
      </c>
      <c r="DO38" s="441">
        <v>5495</v>
      </c>
      <c r="DP38" s="441">
        <v>5143</v>
      </c>
      <c r="DQ38" s="441">
        <v>4891</v>
      </c>
      <c r="DR38" s="441">
        <v>4629</v>
      </c>
      <c r="DS38" s="441">
        <v>5108</v>
      </c>
      <c r="DT38" s="441">
        <v>5406</v>
      </c>
      <c r="DU38" s="441">
        <v>5241</v>
      </c>
      <c r="DV38" s="441">
        <v>5760</v>
      </c>
      <c r="DW38" s="441">
        <v>5576</v>
      </c>
      <c r="DX38" s="441">
        <v>5251</v>
      </c>
      <c r="DY38" s="441">
        <v>5554</v>
      </c>
      <c r="DZ38" s="441">
        <v>4853</v>
      </c>
      <c r="EA38" s="441">
        <v>5104</v>
      </c>
      <c r="EB38" s="441">
        <v>4888</v>
      </c>
      <c r="EC38" s="441">
        <v>4011</v>
      </c>
      <c r="ED38" s="441">
        <v>4012</v>
      </c>
      <c r="EE38" s="441">
        <v>4338</v>
      </c>
      <c r="EF38" s="441">
        <v>4049</v>
      </c>
      <c r="EG38" s="441">
        <v>3651</v>
      </c>
      <c r="EH38" s="441">
        <v>3849</v>
      </c>
      <c r="EI38" s="441">
        <v>3843</v>
      </c>
      <c r="EJ38" s="441">
        <v>3799</v>
      </c>
      <c r="EK38" s="441">
        <v>3806</v>
      </c>
      <c r="EL38" s="441">
        <v>3405</v>
      </c>
      <c r="EM38" s="441">
        <v>4614</v>
      </c>
      <c r="EN38" s="441">
        <v>3785</v>
      </c>
      <c r="EO38" s="441">
        <v>2813</v>
      </c>
      <c r="EP38" s="441">
        <v>2852</v>
      </c>
      <c r="EQ38" s="441">
        <v>2803</v>
      </c>
      <c r="ER38" s="441">
        <v>3003</v>
      </c>
      <c r="ES38" s="441">
        <v>3031</v>
      </c>
      <c r="ET38" s="441">
        <v>2766</v>
      </c>
      <c r="EU38" s="441">
        <v>2786</v>
      </c>
      <c r="EV38" s="441">
        <v>2730</v>
      </c>
      <c r="EW38" s="441">
        <v>2632</v>
      </c>
      <c r="EX38" s="441">
        <v>2528</v>
      </c>
      <c r="EY38" s="441">
        <v>3004</v>
      </c>
      <c r="EZ38" s="441">
        <v>2655</v>
      </c>
      <c r="FA38" s="441">
        <v>2120</v>
      </c>
      <c r="FB38" s="441">
        <v>2235</v>
      </c>
      <c r="FC38" s="441">
        <v>2231</v>
      </c>
      <c r="FD38" s="441">
        <v>2483</v>
      </c>
      <c r="FE38" s="441">
        <v>2081</v>
      </c>
      <c r="FF38" s="441">
        <v>2760</v>
      </c>
      <c r="FG38" s="441">
        <v>2379</v>
      </c>
      <c r="FH38" s="441">
        <v>2612</v>
      </c>
      <c r="FI38" s="441">
        <v>2512</v>
      </c>
      <c r="FJ38" s="441">
        <v>2324</v>
      </c>
      <c r="FK38" s="441">
        <v>2584</v>
      </c>
      <c r="FL38" s="441">
        <v>2637</v>
      </c>
      <c r="FM38" s="441">
        <v>2227</v>
      </c>
      <c r="FN38" s="441">
        <v>2285</v>
      </c>
      <c r="FO38" s="441">
        <v>2492</v>
      </c>
      <c r="FP38" s="441">
        <v>2816</v>
      </c>
      <c r="FQ38" s="441">
        <v>2581</v>
      </c>
      <c r="FR38" s="441">
        <v>2865</v>
      </c>
      <c r="FS38" s="441">
        <v>2939</v>
      </c>
      <c r="FT38" s="441">
        <v>2851</v>
      </c>
      <c r="FU38" s="441">
        <v>2826</v>
      </c>
      <c r="FV38" s="441">
        <v>2935</v>
      </c>
      <c r="FW38" s="441">
        <v>4091</v>
      </c>
      <c r="FX38" s="441">
        <v>2808</v>
      </c>
      <c r="FY38" s="441">
        <v>2476</v>
      </c>
      <c r="FZ38" s="441">
        <v>2520</v>
      </c>
      <c r="GA38" s="441">
        <v>2573</v>
      </c>
      <c r="GB38" s="441">
        <v>2822</v>
      </c>
      <c r="GC38" s="441">
        <v>2626</v>
      </c>
      <c r="GD38" s="441">
        <v>3009</v>
      </c>
      <c r="GE38" s="441">
        <v>2853</v>
      </c>
      <c r="GF38" s="441">
        <v>3172</v>
      </c>
      <c r="GG38" s="441">
        <v>2970</v>
      </c>
      <c r="GH38" s="441">
        <v>3012</v>
      </c>
      <c r="GI38" s="441">
        <v>3250</v>
      </c>
      <c r="GJ38" s="441">
        <v>3232</v>
      </c>
      <c r="GK38" s="430">
        <v>2917</v>
      </c>
    </row>
    <row r="39" spans="1:193">
      <c r="A39" s="231" t="s">
        <v>244</v>
      </c>
      <c r="B39" s="442">
        <v>154</v>
      </c>
      <c r="C39" s="442">
        <v>126</v>
      </c>
      <c r="D39" s="442">
        <v>160</v>
      </c>
      <c r="E39" s="442">
        <v>145</v>
      </c>
      <c r="F39" s="442">
        <v>200</v>
      </c>
      <c r="G39" s="442">
        <v>166</v>
      </c>
      <c r="H39" s="442">
        <v>165</v>
      </c>
      <c r="I39" s="442">
        <v>168</v>
      </c>
      <c r="J39" s="442">
        <v>153</v>
      </c>
      <c r="K39" s="442">
        <v>215</v>
      </c>
      <c r="L39" s="442">
        <v>198</v>
      </c>
      <c r="M39" s="442">
        <v>161</v>
      </c>
      <c r="N39" s="442">
        <v>187</v>
      </c>
      <c r="O39" s="442">
        <v>183</v>
      </c>
      <c r="P39" s="442">
        <v>158</v>
      </c>
      <c r="Q39" s="442">
        <v>127</v>
      </c>
      <c r="R39" s="442">
        <v>136</v>
      </c>
      <c r="S39" s="442">
        <v>158</v>
      </c>
      <c r="T39" s="442">
        <v>129</v>
      </c>
      <c r="U39" s="442">
        <v>169</v>
      </c>
      <c r="V39" s="442">
        <v>158</v>
      </c>
      <c r="W39" s="442">
        <v>177</v>
      </c>
      <c r="X39" s="442">
        <v>152</v>
      </c>
      <c r="Y39" s="442">
        <v>121</v>
      </c>
      <c r="Z39" s="442">
        <v>150</v>
      </c>
      <c r="AA39" s="442">
        <v>151</v>
      </c>
      <c r="AB39" s="442">
        <v>149</v>
      </c>
      <c r="AC39" s="442">
        <v>158</v>
      </c>
      <c r="AD39" s="442">
        <v>163</v>
      </c>
      <c r="AE39" s="442">
        <v>126</v>
      </c>
      <c r="AF39" s="442">
        <v>164</v>
      </c>
      <c r="AG39" s="442">
        <v>165</v>
      </c>
      <c r="AH39" s="442">
        <v>134</v>
      </c>
      <c r="AI39" s="442">
        <v>166</v>
      </c>
      <c r="AJ39" s="442">
        <v>190</v>
      </c>
      <c r="AK39" s="442">
        <v>152</v>
      </c>
      <c r="AL39" s="442">
        <v>159</v>
      </c>
      <c r="AM39" s="442">
        <v>158</v>
      </c>
      <c r="AN39" s="442">
        <v>142</v>
      </c>
      <c r="AO39" s="442">
        <v>129</v>
      </c>
      <c r="AP39" s="442">
        <v>149</v>
      </c>
      <c r="AQ39" s="442">
        <v>183</v>
      </c>
      <c r="AR39" s="442">
        <v>193</v>
      </c>
      <c r="AS39" s="442">
        <v>168</v>
      </c>
      <c r="AT39" s="442">
        <v>186</v>
      </c>
      <c r="AU39" s="442">
        <v>172</v>
      </c>
      <c r="AV39" s="442">
        <v>175</v>
      </c>
      <c r="AW39" s="442">
        <v>191</v>
      </c>
      <c r="AX39" s="442">
        <v>183</v>
      </c>
      <c r="AY39" s="442">
        <v>328</v>
      </c>
      <c r="AZ39" s="442">
        <v>319</v>
      </c>
      <c r="BA39" s="442">
        <v>238</v>
      </c>
      <c r="BB39" s="442">
        <v>264</v>
      </c>
      <c r="BC39" s="442">
        <v>286</v>
      </c>
      <c r="BD39" s="442">
        <v>265</v>
      </c>
      <c r="BE39" s="442">
        <v>253</v>
      </c>
      <c r="BF39" s="442">
        <v>332</v>
      </c>
      <c r="BG39" s="442">
        <v>250</v>
      </c>
      <c r="BH39" s="442">
        <v>223</v>
      </c>
      <c r="BI39" s="442">
        <v>206</v>
      </c>
      <c r="BJ39" s="442">
        <v>199</v>
      </c>
      <c r="BK39" s="442">
        <v>188</v>
      </c>
      <c r="BL39" s="442">
        <v>246</v>
      </c>
      <c r="BM39" s="442">
        <v>176</v>
      </c>
      <c r="BN39" s="442">
        <v>195</v>
      </c>
      <c r="BO39" s="442">
        <v>215</v>
      </c>
      <c r="BP39" s="442">
        <v>203</v>
      </c>
      <c r="BQ39" s="442">
        <v>208</v>
      </c>
      <c r="BR39" s="442">
        <v>272</v>
      </c>
      <c r="BS39" s="442">
        <v>270</v>
      </c>
      <c r="BT39" s="442">
        <v>260</v>
      </c>
      <c r="BU39" s="442">
        <v>159</v>
      </c>
      <c r="BV39" s="442">
        <v>207</v>
      </c>
      <c r="BW39" s="442">
        <v>239</v>
      </c>
      <c r="BX39" s="442">
        <v>263</v>
      </c>
      <c r="BY39" s="442">
        <v>196</v>
      </c>
      <c r="BZ39" s="442">
        <v>261</v>
      </c>
      <c r="CA39" s="442">
        <v>223</v>
      </c>
      <c r="CB39" s="442">
        <v>229</v>
      </c>
      <c r="CC39" s="442">
        <v>251</v>
      </c>
      <c r="CD39" s="442">
        <v>227</v>
      </c>
      <c r="CE39" s="442">
        <v>283</v>
      </c>
      <c r="CF39" s="442">
        <v>279</v>
      </c>
      <c r="CG39" s="442">
        <v>232</v>
      </c>
      <c r="CH39" s="442">
        <v>219</v>
      </c>
      <c r="CI39" s="442">
        <v>176</v>
      </c>
      <c r="CJ39" s="442">
        <v>171</v>
      </c>
      <c r="CK39" s="442">
        <v>313</v>
      </c>
      <c r="CL39" s="442">
        <v>240</v>
      </c>
      <c r="CM39" s="442">
        <v>272</v>
      </c>
      <c r="CN39" s="442">
        <v>350</v>
      </c>
      <c r="CO39" s="442">
        <v>316</v>
      </c>
      <c r="CP39" s="442">
        <v>320</v>
      </c>
      <c r="CQ39" s="442">
        <v>280</v>
      </c>
      <c r="CR39" s="442">
        <v>187</v>
      </c>
      <c r="CS39" s="442">
        <v>198</v>
      </c>
      <c r="CT39" s="442">
        <v>157</v>
      </c>
      <c r="CU39" s="442">
        <v>169</v>
      </c>
      <c r="CV39" s="442">
        <v>184</v>
      </c>
      <c r="CW39" s="442">
        <v>216</v>
      </c>
      <c r="CX39" s="442">
        <v>328</v>
      </c>
      <c r="CY39" s="442">
        <v>302</v>
      </c>
      <c r="CZ39" s="442">
        <v>376</v>
      </c>
      <c r="DA39" s="442">
        <v>365</v>
      </c>
      <c r="DB39" s="442">
        <v>364</v>
      </c>
      <c r="DC39" s="442">
        <v>372</v>
      </c>
      <c r="DD39" s="442">
        <v>259</v>
      </c>
      <c r="DE39" s="442">
        <v>268</v>
      </c>
      <c r="DF39" s="442">
        <v>224</v>
      </c>
      <c r="DG39" s="442">
        <v>228</v>
      </c>
      <c r="DH39" s="442">
        <v>308</v>
      </c>
      <c r="DI39" s="442">
        <v>286</v>
      </c>
      <c r="DJ39" s="442">
        <v>318</v>
      </c>
      <c r="DK39" s="442">
        <v>320</v>
      </c>
      <c r="DL39" s="442">
        <v>368</v>
      </c>
      <c r="DM39" s="442">
        <v>448</v>
      </c>
      <c r="DN39" s="442">
        <v>328</v>
      </c>
      <c r="DO39" s="442">
        <v>299</v>
      </c>
      <c r="DP39" s="442">
        <v>239</v>
      </c>
      <c r="DQ39" s="442">
        <v>167</v>
      </c>
      <c r="DR39" s="442">
        <v>169</v>
      </c>
      <c r="DS39" s="442">
        <v>170</v>
      </c>
      <c r="DT39" s="442">
        <v>236</v>
      </c>
      <c r="DU39" s="442">
        <v>222</v>
      </c>
      <c r="DV39" s="442">
        <v>275</v>
      </c>
      <c r="DW39" s="442">
        <v>279</v>
      </c>
      <c r="DX39" s="442">
        <v>384</v>
      </c>
      <c r="DY39" s="442">
        <v>564</v>
      </c>
      <c r="DZ39" s="442">
        <v>383</v>
      </c>
      <c r="EA39" s="442">
        <v>351</v>
      </c>
      <c r="EB39" s="442">
        <v>288</v>
      </c>
      <c r="EC39" s="442">
        <v>183</v>
      </c>
      <c r="ED39" s="442">
        <v>240</v>
      </c>
      <c r="EE39" s="442">
        <v>276</v>
      </c>
      <c r="EF39" s="442">
        <v>278</v>
      </c>
      <c r="EG39" s="442">
        <v>219</v>
      </c>
      <c r="EH39" s="442">
        <v>185</v>
      </c>
      <c r="EI39" s="442">
        <v>209</v>
      </c>
      <c r="EJ39" s="442">
        <v>221</v>
      </c>
      <c r="EK39" s="442">
        <v>252</v>
      </c>
      <c r="EL39" s="442">
        <v>337</v>
      </c>
      <c r="EM39" s="442">
        <v>355</v>
      </c>
      <c r="EN39" s="442">
        <v>478</v>
      </c>
      <c r="EO39" s="442">
        <v>378</v>
      </c>
      <c r="EP39" s="442">
        <v>344</v>
      </c>
      <c r="EQ39" s="442">
        <v>348</v>
      </c>
      <c r="ER39" s="442">
        <v>332</v>
      </c>
      <c r="ES39" s="442">
        <v>301</v>
      </c>
      <c r="ET39" s="442">
        <v>375</v>
      </c>
      <c r="EU39" s="442">
        <v>344</v>
      </c>
      <c r="EV39" s="442">
        <v>393</v>
      </c>
      <c r="EW39" s="442">
        <v>579</v>
      </c>
      <c r="EX39" s="442">
        <v>479</v>
      </c>
      <c r="EY39" s="442">
        <v>488</v>
      </c>
      <c r="EZ39" s="442">
        <v>447</v>
      </c>
      <c r="FA39" s="442">
        <v>277</v>
      </c>
      <c r="FB39" s="442">
        <v>230</v>
      </c>
      <c r="FC39" s="442">
        <v>230</v>
      </c>
      <c r="FD39" s="442">
        <v>278</v>
      </c>
      <c r="FE39" s="442">
        <v>233</v>
      </c>
      <c r="FF39" s="442">
        <v>243</v>
      </c>
      <c r="FG39" s="442">
        <v>230</v>
      </c>
      <c r="FH39" s="442">
        <v>204</v>
      </c>
      <c r="FI39" s="442">
        <v>198</v>
      </c>
      <c r="FJ39" s="442">
        <v>140</v>
      </c>
      <c r="FK39" s="442">
        <v>176</v>
      </c>
      <c r="FL39" s="442">
        <v>145</v>
      </c>
      <c r="FM39" s="442">
        <v>106</v>
      </c>
      <c r="FN39" s="442">
        <v>90</v>
      </c>
      <c r="FO39" s="442">
        <v>81</v>
      </c>
      <c r="FP39" s="442">
        <v>102</v>
      </c>
      <c r="FQ39" s="442">
        <v>105</v>
      </c>
      <c r="FR39" s="442">
        <v>93</v>
      </c>
      <c r="FS39" s="442">
        <v>126</v>
      </c>
      <c r="FT39" s="442">
        <v>139</v>
      </c>
      <c r="FU39" s="442">
        <v>177</v>
      </c>
      <c r="FV39" s="442">
        <v>160</v>
      </c>
      <c r="FW39" s="442">
        <v>124</v>
      </c>
      <c r="FX39" s="442">
        <v>129</v>
      </c>
      <c r="FY39" s="442">
        <v>115</v>
      </c>
      <c r="FZ39" s="442">
        <v>74</v>
      </c>
      <c r="GA39" s="442">
        <v>115</v>
      </c>
      <c r="GB39" s="442">
        <v>114</v>
      </c>
      <c r="GC39" s="442">
        <v>89</v>
      </c>
      <c r="GD39" s="442">
        <v>90</v>
      </c>
      <c r="GE39" s="442">
        <v>81</v>
      </c>
      <c r="GF39" s="442">
        <v>111</v>
      </c>
      <c r="GG39" s="442">
        <v>143</v>
      </c>
      <c r="GH39" s="442">
        <v>111</v>
      </c>
      <c r="GI39" s="442">
        <v>179</v>
      </c>
      <c r="GJ39" s="442">
        <v>96</v>
      </c>
      <c r="GK39" s="431">
        <v>103</v>
      </c>
    </row>
    <row r="40" spans="1:193">
      <c r="A40" s="231" t="s">
        <v>246</v>
      </c>
      <c r="B40" s="348">
        <v>200</v>
      </c>
      <c r="C40" s="348">
        <v>212</v>
      </c>
      <c r="D40" s="348">
        <v>312</v>
      </c>
      <c r="E40" s="348">
        <v>278</v>
      </c>
      <c r="F40" s="348">
        <v>327</v>
      </c>
      <c r="G40" s="348">
        <v>420</v>
      </c>
      <c r="H40" s="348">
        <v>331</v>
      </c>
      <c r="I40" s="348">
        <v>458</v>
      </c>
      <c r="J40" s="348">
        <v>735</v>
      </c>
      <c r="K40" s="348">
        <v>723</v>
      </c>
      <c r="L40" s="348">
        <v>763</v>
      </c>
      <c r="M40" s="348">
        <v>572</v>
      </c>
      <c r="N40" s="348">
        <v>734</v>
      </c>
      <c r="O40" s="348">
        <v>496</v>
      </c>
      <c r="P40" s="348">
        <v>419</v>
      </c>
      <c r="Q40" s="348">
        <v>347</v>
      </c>
      <c r="R40" s="348">
        <v>357</v>
      </c>
      <c r="S40" s="348">
        <v>376</v>
      </c>
      <c r="T40" s="348">
        <v>302</v>
      </c>
      <c r="U40" s="348">
        <v>294</v>
      </c>
      <c r="V40" s="348">
        <v>327</v>
      </c>
      <c r="W40" s="348">
        <v>264</v>
      </c>
      <c r="X40" s="348">
        <v>230</v>
      </c>
      <c r="Y40" s="348">
        <v>166</v>
      </c>
      <c r="Z40" s="348">
        <v>227</v>
      </c>
      <c r="AA40" s="348">
        <v>215</v>
      </c>
      <c r="AB40" s="348">
        <v>269</v>
      </c>
      <c r="AC40" s="348">
        <v>225</v>
      </c>
      <c r="AD40" s="348">
        <v>264</v>
      </c>
      <c r="AE40" s="348">
        <v>322</v>
      </c>
      <c r="AF40" s="348">
        <v>347</v>
      </c>
      <c r="AG40" s="348">
        <v>336</v>
      </c>
      <c r="AH40" s="348">
        <v>376</v>
      </c>
      <c r="AI40" s="348">
        <v>322</v>
      </c>
      <c r="AJ40" s="348">
        <v>323</v>
      </c>
      <c r="AK40" s="348">
        <v>345</v>
      </c>
      <c r="AL40" s="348">
        <v>301</v>
      </c>
      <c r="AM40" s="348">
        <v>347</v>
      </c>
      <c r="AN40" s="348">
        <v>430</v>
      </c>
      <c r="AO40" s="348">
        <v>334</v>
      </c>
      <c r="AP40" s="348">
        <v>351</v>
      </c>
      <c r="AQ40" s="348">
        <v>368</v>
      </c>
      <c r="AR40" s="348">
        <v>305</v>
      </c>
      <c r="AS40" s="348">
        <v>294</v>
      </c>
      <c r="AT40" s="348">
        <v>291</v>
      </c>
      <c r="AU40" s="348">
        <v>300</v>
      </c>
      <c r="AV40" s="348">
        <v>322</v>
      </c>
      <c r="AW40" s="348">
        <v>402</v>
      </c>
      <c r="AX40" s="348">
        <v>345</v>
      </c>
      <c r="AY40" s="348">
        <v>392</v>
      </c>
      <c r="AZ40" s="348">
        <v>519</v>
      </c>
      <c r="BA40" s="348">
        <v>398</v>
      </c>
      <c r="BB40" s="348">
        <v>498</v>
      </c>
      <c r="BC40" s="348">
        <v>503</v>
      </c>
      <c r="BD40" s="348">
        <v>389</v>
      </c>
      <c r="BE40" s="348">
        <v>403</v>
      </c>
      <c r="BF40" s="348">
        <v>416</v>
      </c>
      <c r="BG40" s="348">
        <v>409</v>
      </c>
      <c r="BH40" s="348">
        <v>422</v>
      </c>
      <c r="BI40" s="348">
        <v>432</v>
      </c>
      <c r="BJ40" s="348">
        <v>370</v>
      </c>
      <c r="BK40" s="348">
        <v>389</v>
      </c>
      <c r="BL40" s="348">
        <v>406</v>
      </c>
      <c r="BM40" s="348">
        <v>302</v>
      </c>
      <c r="BN40" s="348">
        <v>321</v>
      </c>
      <c r="BO40" s="348">
        <v>376</v>
      </c>
      <c r="BP40" s="348">
        <v>290</v>
      </c>
      <c r="BQ40" s="348">
        <v>255</v>
      </c>
      <c r="BR40" s="348">
        <v>285</v>
      </c>
      <c r="BS40" s="348">
        <v>221</v>
      </c>
      <c r="BT40" s="348">
        <v>212</v>
      </c>
      <c r="BU40" s="348">
        <v>223</v>
      </c>
      <c r="BV40" s="348">
        <v>202</v>
      </c>
      <c r="BW40" s="348">
        <v>211</v>
      </c>
      <c r="BX40" s="348">
        <v>130</v>
      </c>
      <c r="BY40" s="348">
        <v>132</v>
      </c>
      <c r="BZ40" s="348">
        <v>209</v>
      </c>
      <c r="CA40" s="348">
        <v>278</v>
      </c>
      <c r="CB40" s="348">
        <v>266</v>
      </c>
      <c r="CC40" s="348">
        <v>155</v>
      </c>
      <c r="CD40" s="348">
        <v>282</v>
      </c>
      <c r="CE40" s="348">
        <v>226</v>
      </c>
      <c r="CF40" s="441">
        <v>377</v>
      </c>
      <c r="CG40" s="441">
        <v>314</v>
      </c>
      <c r="CH40" s="441">
        <v>261</v>
      </c>
      <c r="CI40" s="441">
        <v>309</v>
      </c>
      <c r="CJ40" s="441">
        <v>331</v>
      </c>
      <c r="CK40" s="441">
        <v>259</v>
      </c>
      <c r="CL40" s="441">
        <v>275</v>
      </c>
      <c r="CM40" s="441">
        <v>330</v>
      </c>
      <c r="CN40" s="441">
        <v>247</v>
      </c>
      <c r="CO40" s="441">
        <v>247</v>
      </c>
      <c r="CP40" s="441">
        <v>292</v>
      </c>
      <c r="CQ40" s="441">
        <v>258</v>
      </c>
      <c r="CR40" s="441">
        <v>274</v>
      </c>
      <c r="CS40" s="441">
        <v>259</v>
      </c>
      <c r="CT40" s="441">
        <v>107</v>
      </c>
      <c r="CU40" s="441">
        <v>88</v>
      </c>
      <c r="CV40" s="441">
        <v>126</v>
      </c>
      <c r="CW40" s="441">
        <v>107</v>
      </c>
      <c r="CX40" s="441">
        <v>106</v>
      </c>
      <c r="CY40" s="441">
        <v>124</v>
      </c>
      <c r="CZ40" s="441">
        <v>100</v>
      </c>
      <c r="DA40" s="441">
        <v>107</v>
      </c>
      <c r="DB40" s="441">
        <v>123</v>
      </c>
      <c r="DC40" s="441">
        <v>102</v>
      </c>
      <c r="DD40" s="441">
        <v>125</v>
      </c>
      <c r="DE40" s="441">
        <v>157</v>
      </c>
      <c r="DF40" s="441">
        <v>180</v>
      </c>
      <c r="DG40" s="441">
        <v>211</v>
      </c>
      <c r="DH40" s="441">
        <v>280</v>
      </c>
      <c r="DI40" s="441">
        <v>307</v>
      </c>
      <c r="DJ40" s="441">
        <v>308</v>
      </c>
      <c r="DK40" s="441">
        <v>387</v>
      </c>
      <c r="DL40" s="441">
        <v>416</v>
      </c>
      <c r="DM40" s="441">
        <v>459</v>
      </c>
      <c r="DN40" s="441">
        <v>388</v>
      </c>
      <c r="DO40" s="441">
        <v>281</v>
      </c>
      <c r="DP40" s="441">
        <v>274</v>
      </c>
      <c r="DQ40" s="441">
        <v>265</v>
      </c>
      <c r="DR40" s="441">
        <v>221</v>
      </c>
      <c r="DS40" s="441">
        <v>241</v>
      </c>
      <c r="DT40" s="441">
        <v>328</v>
      </c>
      <c r="DU40" s="441">
        <v>323</v>
      </c>
      <c r="DV40" s="441">
        <v>340</v>
      </c>
      <c r="DW40" s="441">
        <v>460</v>
      </c>
      <c r="DX40" s="441">
        <v>414</v>
      </c>
      <c r="DY40" s="441">
        <v>417</v>
      </c>
      <c r="DZ40" s="441">
        <v>452</v>
      </c>
      <c r="EA40" s="441">
        <v>436</v>
      </c>
      <c r="EB40" s="441">
        <v>450</v>
      </c>
      <c r="EC40" s="441">
        <v>471</v>
      </c>
      <c r="ED40" s="441">
        <v>490</v>
      </c>
      <c r="EE40" s="441">
        <v>436</v>
      </c>
      <c r="EF40" s="441">
        <v>474</v>
      </c>
      <c r="EG40" s="441">
        <v>462</v>
      </c>
      <c r="EH40" s="441">
        <v>538</v>
      </c>
      <c r="EI40" s="441">
        <v>483</v>
      </c>
      <c r="EJ40" s="441">
        <v>355</v>
      </c>
      <c r="EK40" s="441">
        <v>208</v>
      </c>
      <c r="EL40" s="441">
        <v>205</v>
      </c>
      <c r="EM40" s="441">
        <v>164</v>
      </c>
      <c r="EN40" s="441">
        <v>151</v>
      </c>
      <c r="EO40" s="441">
        <v>170</v>
      </c>
      <c r="EP40" s="441">
        <v>148</v>
      </c>
      <c r="EQ40" s="441">
        <v>159</v>
      </c>
      <c r="ER40" s="441">
        <v>177</v>
      </c>
      <c r="ES40" s="441">
        <v>168</v>
      </c>
      <c r="ET40" s="441">
        <v>156</v>
      </c>
      <c r="EU40" s="441">
        <v>177</v>
      </c>
      <c r="EV40" s="441">
        <v>152</v>
      </c>
      <c r="EW40" s="441">
        <v>164</v>
      </c>
      <c r="EX40" s="441">
        <v>197</v>
      </c>
      <c r="EY40" s="441">
        <v>185</v>
      </c>
      <c r="EZ40" s="441">
        <v>188</v>
      </c>
      <c r="FA40" s="441">
        <v>176</v>
      </c>
      <c r="FB40" s="441">
        <v>172</v>
      </c>
      <c r="FC40" s="441">
        <v>174</v>
      </c>
      <c r="FD40" s="441">
        <v>175</v>
      </c>
      <c r="FE40" s="441">
        <v>192</v>
      </c>
      <c r="FF40" s="441">
        <v>192</v>
      </c>
      <c r="FG40" s="441">
        <v>173</v>
      </c>
      <c r="FH40" s="441">
        <v>183</v>
      </c>
      <c r="FI40" s="441">
        <v>163</v>
      </c>
      <c r="FJ40" s="441">
        <v>154</v>
      </c>
      <c r="FK40" s="441">
        <v>175</v>
      </c>
      <c r="FL40" s="441">
        <v>189</v>
      </c>
      <c r="FM40" s="441">
        <v>166</v>
      </c>
      <c r="FN40" s="441">
        <v>413</v>
      </c>
      <c r="FO40" s="441">
        <v>433</v>
      </c>
      <c r="FP40" s="441">
        <v>440</v>
      </c>
      <c r="FQ40" s="441">
        <v>360</v>
      </c>
      <c r="FR40" s="441">
        <v>260</v>
      </c>
      <c r="FS40" s="441">
        <v>370</v>
      </c>
      <c r="FT40" s="441">
        <v>409</v>
      </c>
      <c r="FU40" s="441">
        <v>384</v>
      </c>
      <c r="FV40" s="441">
        <v>379</v>
      </c>
      <c r="FW40" s="441">
        <v>398</v>
      </c>
      <c r="FX40" s="441">
        <v>456</v>
      </c>
      <c r="FY40" s="441">
        <v>376</v>
      </c>
      <c r="FZ40" s="441">
        <v>343</v>
      </c>
      <c r="GA40" s="441">
        <v>369</v>
      </c>
      <c r="GB40" s="441">
        <v>420</v>
      </c>
      <c r="GC40" s="441">
        <v>406</v>
      </c>
      <c r="GD40" s="441">
        <v>442</v>
      </c>
      <c r="GE40" s="441">
        <v>446</v>
      </c>
      <c r="GF40" s="441">
        <v>674</v>
      </c>
      <c r="GG40" s="441">
        <v>752</v>
      </c>
      <c r="GH40" s="441">
        <v>708</v>
      </c>
      <c r="GI40" s="441">
        <v>714</v>
      </c>
      <c r="GJ40" s="441">
        <v>624</v>
      </c>
      <c r="GK40" s="430">
        <v>589</v>
      </c>
    </row>
    <row r="41" spans="1:193" ht="15.75" thickBot="1">
      <c r="A41" s="232" t="s">
        <v>103</v>
      </c>
      <c r="B41" s="161">
        <v>331</v>
      </c>
      <c r="C41" s="435">
        <v>352</v>
      </c>
      <c r="D41" s="435">
        <v>455</v>
      </c>
      <c r="E41" s="435">
        <v>442</v>
      </c>
      <c r="F41" s="435">
        <v>481</v>
      </c>
      <c r="G41" s="435">
        <v>455</v>
      </c>
      <c r="H41" s="435">
        <v>456</v>
      </c>
      <c r="I41" s="435">
        <v>447</v>
      </c>
      <c r="J41" s="435">
        <v>451</v>
      </c>
      <c r="K41" s="435">
        <v>408</v>
      </c>
      <c r="L41" s="435">
        <v>415</v>
      </c>
      <c r="M41" s="435">
        <v>375</v>
      </c>
      <c r="N41" s="435">
        <v>439</v>
      </c>
      <c r="O41" s="435">
        <v>424</v>
      </c>
      <c r="P41" s="435">
        <v>404</v>
      </c>
      <c r="Q41" s="435">
        <v>366</v>
      </c>
      <c r="R41" s="435">
        <v>352</v>
      </c>
      <c r="S41" s="435">
        <v>393</v>
      </c>
      <c r="T41" s="435">
        <v>413</v>
      </c>
      <c r="U41" s="435">
        <v>378</v>
      </c>
      <c r="V41" s="435">
        <v>367</v>
      </c>
      <c r="W41" s="435">
        <v>439</v>
      </c>
      <c r="X41" s="435">
        <v>399</v>
      </c>
      <c r="Y41" s="435">
        <v>335</v>
      </c>
      <c r="Z41" s="435">
        <v>321</v>
      </c>
      <c r="AA41" s="435">
        <v>293</v>
      </c>
      <c r="AB41" s="435">
        <v>308</v>
      </c>
      <c r="AC41" s="435">
        <v>339</v>
      </c>
      <c r="AD41" s="435">
        <v>402</v>
      </c>
      <c r="AE41" s="435">
        <v>348</v>
      </c>
      <c r="AF41" s="435">
        <v>361</v>
      </c>
      <c r="AG41" s="435">
        <v>380</v>
      </c>
      <c r="AH41" s="435">
        <v>387</v>
      </c>
      <c r="AI41" s="435">
        <v>404</v>
      </c>
      <c r="AJ41" s="435">
        <v>406</v>
      </c>
      <c r="AK41" s="435">
        <v>360</v>
      </c>
      <c r="AL41" s="435">
        <v>366</v>
      </c>
      <c r="AM41" s="435">
        <v>402</v>
      </c>
      <c r="AN41" s="435">
        <v>445</v>
      </c>
      <c r="AO41" s="435">
        <v>387</v>
      </c>
      <c r="AP41" s="435">
        <v>425</v>
      </c>
      <c r="AQ41" s="435">
        <v>505</v>
      </c>
      <c r="AR41" s="435">
        <v>526</v>
      </c>
      <c r="AS41" s="435">
        <v>598</v>
      </c>
      <c r="AT41" s="435">
        <v>622</v>
      </c>
      <c r="AU41" s="435">
        <v>641</v>
      </c>
      <c r="AV41" s="435">
        <v>618</v>
      </c>
      <c r="AW41" s="435">
        <v>553</v>
      </c>
      <c r="AX41" s="435">
        <v>524</v>
      </c>
      <c r="AY41" s="435">
        <v>536</v>
      </c>
      <c r="AZ41" s="435">
        <v>577</v>
      </c>
      <c r="BA41" s="435">
        <v>619</v>
      </c>
      <c r="BB41" s="435">
        <v>738</v>
      </c>
      <c r="BC41" s="435">
        <v>675</v>
      </c>
      <c r="BD41" s="435">
        <v>678</v>
      </c>
      <c r="BE41" s="435">
        <v>715</v>
      </c>
      <c r="BF41" s="435">
        <v>705</v>
      </c>
      <c r="BG41" s="435">
        <v>630</v>
      </c>
      <c r="BH41" s="435">
        <v>718</v>
      </c>
      <c r="BI41" s="435">
        <v>573</v>
      </c>
      <c r="BJ41" s="435">
        <v>468</v>
      </c>
      <c r="BK41" s="435">
        <v>487</v>
      </c>
      <c r="BL41" s="435">
        <v>592</v>
      </c>
      <c r="BM41" s="435">
        <v>525</v>
      </c>
      <c r="BN41" s="435">
        <v>497</v>
      </c>
      <c r="BO41" s="435">
        <v>512</v>
      </c>
      <c r="BP41" s="435">
        <v>507</v>
      </c>
      <c r="BQ41" s="435">
        <v>483</v>
      </c>
      <c r="BR41" s="435">
        <v>478</v>
      </c>
      <c r="BS41" s="435">
        <v>476</v>
      </c>
      <c r="BT41" s="435">
        <v>565</v>
      </c>
      <c r="BU41" s="435">
        <v>428</v>
      </c>
      <c r="BV41" s="435">
        <v>424</v>
      </c>
      <c r="BW41" s="435">
        <v>463</v>
      </c>
      <c r="BX41" s="435">
        <v>471</v>
      </c>
      <c r="BY41" s="435">
        <v>481</v>
      </c>
      <c r="BZ41" s="435">
        <v>570</v>
      </c>
      <c r="CA41" s="435">
        <v>545</v>
      </c>
      <c r="CB41" s="435">
        <v>579</v>
      </c>
      <c r="CC41" s="435">
        <v>572</v>
      </c>
      <c r="CD41" s="435">
        <v>769</v>
      </c>
      <c r="CE41" s="435">
        <v>484</v>
      </c>
      <c r="CF41" s="435">
        <v>630</v>
      </c>
      <c r="CG41" s="435">
        <v>576</v>
      </c>
      <c r="CH41" s="435">
        <v>559</v>
      </c>
      <c r="CI41" s="435">
        <v>581</v>
      </c>
      <c r="CJ41" s="435">
        <v>584</v>
      </c>
      <c r="CK41" s="435">
        <v>575</v>
      </c>
      <c r="CL41" s="435">
        <v>715</v>
      </c>
      <c r="CM41" s="435">
        <v>595</v>
      </c>
      <c r="CN41" s="435">
        <v>615</v>
      </c>
      <c r="CO41" s="435">
        <v>692</v>
      </c>
      <c r="CP41" s="435">
        <v>724</v>
      </c>
      <c r="CQ41" s="435">
        <v>810</v>
      </c>
      <c r="CR41" s="435">
        <v>763</v>
      </c>
      <c r="CS41" s="435">
        <v>872</v>
      </c>
      <c r="CT41" s="435">
        <v>1217</v>
      </c>
      <c r="CU41" s="435">
        <v>1115</v>
      </c>
      <c r="CV41" s="435">
        <v>739</v>
      </c>
      <c r="CW41" s="435">
        <v>659</v>
      </c>
      <c r="CX41" s="435">
        <v>799</v>
      </c>
      <c r="CY41" s="435">
        <v>698</v>
      </c>
      <c r="CZ41" s="435">
        <v>665</v>
      </c>
      <c r="DA41" s="435">
        <v>699</v>
      </c>
      <c r="DB41" s="435">
        <v>687</v>
      </c>
      <c r="DC41" s="435">
        <v>681</v>
      </c>
      <c r="DD41" s="435">
        <v>675</v>
      </c>
      <c r="DE41" s="435">
        <v>641</v>
      </c>
      <c r="DF41" s="435">
        <v>647</v>
      </c>
      <c r="DG41" s="435">
        <v>670</v>
      </c>
      <c r="DH41" s="435">
        <v>775</v>
      </c>
      <c r="DI41" s="435">
        <v>827</v>
      </c>
      <c r="DJ41" s="435">
        <v>950</v>
      </c>
      <c r="DK41" s="435">
        <v>996</v>
      </c>
      <c r="DL41" s="435">
        <v>1081</v>
      </c>
      <c r="DM41" s="435">
        <v>1243</v>
      </c>
      <c r="DN41" s="435">
        <v>1285</v>
      </c>
      <c r="DO41" s="435">
        <v>1455</v>
      </c>
      <c r="DP41" s="435">
        <v>1397</v>
      </c>
      <c r="DQ41" s="435">
        <v>1260</v>
      </c>
      <c r="DR41" s="435">
        <v>1303</v>
      </c>
      <c r="DS41" s="435">
        <v>1360</v>
      </c>
      <c r="DT41" s="435">
        <v>1614</v>
      </c>
      <c r="DU41" s="435">
        <v>1634</v>
      </c>
      <c r="DV41" s="435">
        <v>1801</v>
      </c>
      <c r="DW41" s="435">
        <v>1695</v>
      </c>
      <c r="DX41" s="435">
        <v>1792</v>
      </c>
      <c r="DY41" s="435">
        <v>1897</v>
      </c>
      <c r="DZ41" s="435">
        <v>1634</v>
      </c>
      <c r="EA41" s="435">
        <v>1745</v>
      </c>
      <c r="EB41" s="435">
        <v>1548</v>
      </c>
      <c r="EC41" s="435">
        <v>1254</v>
      </c>
      <c r="ED41" s="435">
        <v>1212</v>
      </c>
      <c r="EE41" s="435">
        <v>1257</v>
      </c>
      <c r="EF41" s="435">
        <v>1391</v>
      </c>
      <c r="EG41" s="435">
        <v>1194</v>
      </c>
      <c r="EH41" s="435">
        <v>1312</v>
      </c>
      <c r="EI41" s="435">
        <v>1140</v>
      </c>
      <c r="EJ41" s="435">
        <v>1127</v>
      </c>
      <c r="EK41" s="435">
        <v>1014</v>
      </c>
      <c r="EL41" s="435">
        <v>955</v>
      </c>
      <c r="EM41" s="435">
        <v>1029</v>
      </c>
      <c r="EN41" s="435">
        <v>938</v>
      </c>
      <c r="EO41" s="435">
        <v>874</v>
      </c>
      <c r="EP41" s="435">
        <v>878</v>
      </c>
      <c r="EQ41" s="435">
        <v>879</v>
      </c>
      <c r="ER41" s="435">
        <v>982</v>
      </c>
      <c r="ES41" s="435">
        <v>939</v>
      </c>
      <c r="ET41" s="435">
        <v>1125</v>
      </c>
      <c r="EU41" s="435">
        <v>983</v>
      </c>
      <c r="EV41" s="435">
        <v>997</v>
      </c>
      <c r="EW41" s="435">
        <v>935</v>
      </c>
      <c r="EX41" s="435">
        <v>929</v>
      </c>
      <c r="EY41" s="435">
        <v>1015</v>
      </c>
      <c r="EZ41" s="435">
        <v>997</v>
      </c>
      <c r="FA41" s="435">
        <v>898</v>
      </c>
      <c r="FB41" s="435">
        <v>912</v>
      </c>
      <c r="FC41" s="435">
        <v>824</v>
      </c>
      <c r="FD41" s="435">
        <v>897</v>
      </c>
      <c r="FE41" s="435">
        <v>794</v>
      </c>
      <c r="FF41" s="435">
        <v>924</v>
      </c>
      <c r="FG41" s="435">
        <v>878</v>
      </c>
      <c r="FH41" s="435">
        <v>885</v>
      </c>
      <c r="FI41" s="435">
        <v>760</v>
      </c>
      <c r="FJ41" s="435">
        <v>800</v>
      </c>
      <c r="FK41" s="435">
        <v>807</v>
      </c>
      <c r="FL41" s="435">
        <v>822</v>
      </c>
      <c r="FM41" s="435">
        <v>767</v>
      </c>
      <c r="FN41" s="435">
        <v>741</v>
      </c>
      <c r="FO41" s="435">
        <v>682</v>
      </c>
      <c r="FP41" s="435">
        <v>668</v>
      </c>
      <c r="FQ41" s="435">
        <v>607</v>
      </c>
      <c r="FR41" s="435">
        <v>547</v>
      </c>
      <c r="FS41" s="435">
        <v>432</v>
      </c>
      <c r="FT41" s="435">
        <v>543</v>
      </c>
      <c r="FU41" s="435">
        <v>710</v>
      </c>
      <c r="FV41" s="435">
        <v>672</v>
      </c>
      <c r="FW41" s="435">
        <v>744</v>
      </c>
      <c r="FX41" s="435">
        <v>761</v>
      </c>
      <c r="FY41" s="435">
        <v>799</v>
      </c>
      <c r="FZ41" s="435">
        <v>714</v>
      </c>
      <c r="GA41" s="435">
        <v>639</v>
      </c>
      <c r="GB41" s="435">
        <v>626</v>
      </c>
      <c r="GC41" s="435">
        <v>557</v>
      </c>
      <c r="GD41" s="435">
        <v>634</v>
      </c>
      <c r="GE41" s="435">
        <v>634</v>
      </c>
      <c r="GF41" s="435">
        <v>620</v>
      </c>
      <c r="GG41" s="435">
        <v>662</v>
      </c>
      <c r="GH41" s="435">
        <v>657</v>
      </c>
      <c r="GI41" s="435">
        <v>571</v>
      </c>
      <c r="GJ41" s="435">
        <v>581</v>
      </c>
      <c r="GK41" s="432">
        <v>564</v>
      </c>
    </row>
    <row r="42" spans="1:193" ht="16.5" thickTop="1" thickBot="1">
      <c r="A42" s="162" t="s">
        <v>237</v>
      </c>
      <c r="B42" s="436">
        <v>17463</v>
      </c>
      <c r="C42" s="436">
        <v>17702</v>
      </c>
      <c r="D42" s="436">
        <v>21076</v>
      </c>
      <c r="E42" s="436">
        <v>19150</v>
      </c>
      <c r="F42" s="436">
        <v>19788</v>
      </c>
      <c r="G42" s="436">
        <v>19680</v>
      </c>
      <c r="H42" s="436">
        <v>19424</v>
      </c>
      <c r="I42" s="436">
        <v>20383</v>
      </c>
      <c r="J42" s="436">
        <v>19866</v>
      </c>
      <c r="K42" s="436">
        <v>20546</v>
      </c>
      <c r="L42" s="436">
        <v>20983</v>
      </c>
      <c r="M42" s="436">
        <v>19664</v>
      </c>
      <c r="N42" s="436">
        <v>20100</v>
      </c>
      <c r="O42" s="436">
        <v>18594</v>
      </c>
      <c r="P42" s="436">
        <v>20056</v>
      </c>
      <c r="Q42" s="436">
        <v>19237</v>
      </c>
      <c r="R42" s="436">
        <v>19218</v>
      </c>
      <c r="S42" s="436">
        <v>17478</v>
      </c>
      <c r="T42" s="436">
        <v>19939</v>
      </c>
      <c r="U42" s="436">
        <v>19408</v>
      </c>
      <c r="V42" s="436">
        <v>20381</v>
      </c>
      <c r="W42" s="436">
        <v>20571</v>
      </c>
      <c r="X42" s="436">
        <v>21356</v>
      </c>
      <c r="Y42" s="436">
        <v>19617</v>
      </c>
      <c r="Z42" s="436">
        <v>19700</v>
      </c>
      <c r="AA42" s="436">
        <v>19464</v>
      </c>
      <c r="AB42" s="436">
        <v>21910</v>
      </c>
      <c r="AC42" s="436">
        <v>20226</v>
      </c>
      <c r="AD42" s="436">
        <v>22540</v>
      </c>
      <c r="AE42" s="436">
        <v>20796</v>
      </c>
      <c r="AF42" s="436">
        <v>21149</v>
      </c>
      <c r="AG42" s="436">
        <v>21765</v>
      </c>
      <c r="AH42" s="436">
        <v>21287</v>
      </c>
      <c r="AI42" s="436">
        <v>22076</v>
      </c>
      <c r="AJ42" s="436">
        <v>22243</v>
      </c>
      <c r="AK42" s="436">
        <v>20587</v>
      </c>
      <c r="AL42" s="436">
        <v>21832</v>
      </c>
      <c r="AM42" s="436">
        <v>23100</v>
      </c>
      <c r="AN42" s="436">
        <v>25045</v>
      </c>
      <c r="AO42" s="436">
        <v>23910</v>
      </c>
      <c r="AP42" s="436">
        <v>25531</v>
      </c>
      <c r="AQ42" s="436">
        <v>24568</v>
      </c>
      <c r="AR42" s="436">
        <v>25550</v>
      </c>
      <c r="AS42" s="436">
        <v>25248</v>
      </c>
      <c r="AT42" s="436">
        <v>26021</v>
      </c>
      <c r="AU42" s="436">
        <v>26287</v>
      </c>
      <c r="AV42" s="436">
        <v>26076</v>
      </c>
      <c r="AW42" s="436">
        <v>24549</v>
      </c>
      <c r="AX42" s="436">
        <v>24064</v>
      </c>
      <c r="AY42" s="436">
        <v>24351</v>
      </c>
      <c r="AZ42" s="436">
        <v>26811</v>
      </c>
      <c r="BA42" s="436">
        <v>27046</v>
      </c>
      <c r="BB42" s="436">
        <v>28467</v>
      </c>
      <c r="BC42" s="436">
        <v>27143</v>
      </c>
      <c r="BD42" s="436">
        <v>29021</v>
      </c>
      <c r="BE42" s="436">
        <v>28866</v>
      </c>
      <c r="BF42" s="436">
        <v>28882</v>
      </c>
      <c r="BG42" s="436">
        <v>28813</v>
      </c>
      <c r="BH42" s="436">
        <v>30451</v>
      </c>
      <c r="BI42" s="436">
        <v>27349</v>
      </c>
      <c r="BJ42" s="436">
        <v>26272</v>
      </c>
      <c r="BK42" s="436">
        <v>28880</v>
      </c>
      <c r="BL42" s="436">
        <v>31655</v>
      </c>
      <c r="BM42" s="436">
        <v>29871</v>
      </c>
      <c r="BN42" s="436">
        <v>33997</v>
      </c>
      <c r="BO42" s="436">
        <v>33618</v>
      </c>
      <c r="BP42" s="436">
        <v>33674</v>
      </c>
      <c r="BQ42" s="436">
        <v>33322</v>
      </c>
      <c r="BR42" s="436">
        <v>34405</v>
      </c>
      <c r="BS42" s="436">
        <v>34718</v>
      </c>
      <c r="BT42" s="436">
        <v>35181</v>
      </c>
      <c r="BU42" s="436">
        <v>32501</v>
      </c>
      <c r="BV42" s="436">
        <v>31945</v>
      </c>
      <c r="BW42" s="436">
        <v>34427</v>
      </c>
      <c r="BX42" s="436">
        <v>36963</v>
      </c>
      <c r="BY42" s="436">
        <v>33857</v>
      </c>
      <c r="BZ42" s="436">
        <v>36773</v>
      </c>
      <c r="CA42" s="436">
        <v>35862</v>
      </c>
      <c r="CB42" s="436">
        <v>36388</v>
      </c>
      <c r="CC42" s="436">
        <v>38093</v>
      </c>
      <c r="CD42" s="436">
        <v>36695</v>
      </c>
      <c r="CE42" s="436">
        <v>34631</v>
      </c>
      <c r="CF42" s="436">
        <v>35750</v>
      </c>
      <c r="CG42" s="436">
        <v>30839</v>
      </c>
      <c r="CH42" s="436">
        <v>31378</v>
      </c>
      <c r="CI42" s="436">
        <v>33745</v>
      </c>
      <c r="CJ42" s="436">
        <v>34430</v>
      </c>
      <c r="CK42" s="436">
        <v>35229</v>
      </c>
      <c r="CL42" s="436">
        <v>37527</v>
      </c>
      <c r="CM42" s="436">
        <v>37949</v>
      </c>
      <c r="CN42" s="436">
        <v>40103</v>
      </c>
      <c r="CO42" s="436">
        <v>42671</v>
      </c>
      <c r="CP42" s="436">
        <v>41268</v>
      </c>
      <c r="CQ42" s="436">
        <v>42641</v>
      </c>
      <c r="CR42" s="436">
        <v>39662</v>
      </c>
      <c r="CS42" s="436">
        <v>35951</v>
      </c>
      <c r="CT42" s="436">
        <v>34042</v>
      </c>
      <c r="CU42" s="436">
        <v>34087</v>
      </c>
      <c r="CV42" s="436">
        <v>36361</v>
      </c>
      <c r="CW42" s="436">
        <v>35136</v>
      </c>
      <c r="CX42" s="436">
        <v>36015</v>
      </c>
      <c r="CY42" s="436">
        <v>33915</v>
      </c>
      <c r="CZ42" s="436">
        <v>33482</v>
      </c>
      <c r="DA42" s="436">
        <v>32665</v>
      </c>
      <c r="DB42" s="436">
        <v>30997</v>
      </c>
      <c r="DC42" s="436">
        <v>32434</v>
      </c>
      <c r="DD42" s="436">
        <v>31261</v>
      </c>
      <c r="DE42" s="436">
        <v>29386</v>
      </c>
      <c r="DF42" s="436">
        <v>28432</v>
      </c>
      <c r="DG42" s="436">
        <v>31167</v>
      </c>
      <c r="DH42" s="436">
        <v>33992</v>
      </c>
      <c r="DI42" s="436">
        <v>32896</v>
      </c>
      <c r="DJ42" s="436">
        <v>35388</v>
      </c>
      <c r="DK42" s="436">
        <v>35459</v>
      </c>
      <c r="DL42" s="436">
        <v>37124</v>
      </c>
      <c r="DM42" s="436">
        <v>38226</v>
      </c>
      <c r="DN42" s="436">
        <v>37768</v>
      </c>
      <c r="DO42" s="436">
        <v>40106</v>
      </c>
      <c r="DP42" s="436">
        <v>41031</v>
      </c>
      <c r="DQ42" s="436">
        <v>36964</v>
      </c>
      <c r="DR42" s="436">
        <v>37962</v>
      </c>
      <c r="DS42" s="436">
        <v>38724</v>
      </c>
      <c r="DT42" s="436">
        <v>42836</v>
      </c>
      <c r="DU42" s="436">
        <v>41803</v>
      </c>
      <c r="DV42" s="436">
        <v>48161</v>
      </c>
      <c r="DW42" s="436">
        <v>46815</v>
      </c>
      <c r="DX42" s="436">
        <v>47619</v>
      </c>
      <c r="DY42" s="436">
        <v>48974</v>
      </c>
      <c r="DZ42" s="436">
        <v>48826</v>
      </c>
      <c r="EA42" s="436">
        <v>50132</v>
      </c>
      <c r="EB42" s="436">
        <v>50599</v>
      </c>
      <c r="EC42" s="436">
        <v>44414</v>
      </c>
      <c r="ED42" s="436">
        <v>50192</v>
      </c>
      <c r="EE42" s="436">
        <v>54282</v>
      </c>
      <c r="EF42" s="436">
        <v>58511</v>
      </c>
      <c r="EG42" s="436">
        <v>56378</v>
      </c>
      <c r="EH42" s="436">
        <v>59856</v>
      </c>
      <c r="EI42" s="436">
        <v>57136</v>
      </c>
      <c r="EJ42" s="436">
        <v>60024</v>
      </c>
      <c r="EK42" s="436">
        <v>61135</v>
      </c>
      <c r="EL42" s="436">
        <v>57355</v>
      </c>
      <c r="EM42" s="436">
        <v>58925</v>
      </c>
      <c r="EN42" s="436">
        <v>55920</v>
      </c>
      <c r="EO42" s="436">
        <v>51985</v>
      </c>
      <c r="EP42" s="436">
        <v>55087</v>
      </c>
      <c r="EQ42" s="436">
        <v>58268</v>
      </c>
      <c r="ER42" s="436">
        <v>58133</v>
      </c>
      <c r="ES42" s="436">
        <v>59911</v>
      </c>
      <c r="ET42" s="436">
        <v>58827</v>
      </c>
      <c r="EU42" s="436">
        <v>56919</v>
      </c>
      <c r="EV42" s="436">
        <v>59292</v>
      </c>
      <c r="EW42" s="436">
        <v>60893</v>
      </c>
      <c r="EX42" s="436">
        <v>55522</v>
      </c>
      <c r="EY42" s="436">
        <v>55923</v>
      </c>
      <c r="EZ42" s="436">
        <v>54640</v>
      </c>
      <c r="FA42" s="436">
        <v>46333</v>
      </c>
      <c r="FB42" s="436">
        <v>46802</v>
      </c>
      <c r="FC42" s="436">
        <v>48099</v>
      </c>
      <c r="FD42" s="436">
        <v>54025</v>
      </c>
      <c r="FE42" s="436">
        <v>51371</v>
      </c>
      <c r="FF42" s="436">
        <v>54330</v>
      </c>
      <c r="FG42" s="436">
        <v>50562</v>
      </c>
      <c r="FH42" s="436">
        <v>50810</v>
      </c>
      <c r="FI42" s="436">
        <v>51349</v>
      </c>
      <c r="FJ42" s="436">
        <v>50361</v>
      </c>
      <c r="FK42" s="436">
        <v>54145</v>
      </c>
      <c r="FL42" s="436">
        <v>52693</v>
      </c>
      <c r="FM42" s="436">
        <v>46396</v>
      </c>
      <c r="FN42" s="436">
        <v>45107</v>
      </c>
      <c r="FO42" s="436">
        <v>45751</v>
      </c>
      <c r="FP42" s="436">
        <v>48758</v>
      </c>
      <c r="FQ42" s="436">
        <v>46070</v>
      </c>
      <c r="FR42" s="436">
        <v>46110</v>
      </c>
      <c r="FS42" s="436">
        <v>45514</v>
      </c>
      <c r="FT42" s="436">
        <v>46731</v>
      </c>
      <c r="FU42" s="436">
        <v>46567</v>
      </c>
      <c r="FV42" s="436">
        <v>46571</v>
      </c>
      <c r="FW42" s="436">
        <v>48229</v>
      </c>
      <c r="FX42" s="436">
        <v>45358</v>
      </c>
      <c r="FY42" s="436">
        <v>41855</v>
      </c>
      <c r="FZ42" s="436">
        <v>40918</v>
      </c>
      <c r="GA42" s="436">
        <v>41508</v>
      </c>
      <c r="GB42" s="436">
        <v>41072</v>
      </c>
      <c r="GC42" s="436">
        <v>41020</v>
      </c>
      <c r="GD42" s="436">
        <v>42839</v>
      </c>
      <c r="GE42" s="436">
        <v>40474</v>
      </c>
      <c r="GF42" s="436">
        <v>44071</v>
      </c>
      <c r="GG42" s="436">
        <v>43292</v>
      </c>
      <c r="GH42" s="436">
        <v>40790</v>
      </c>
      <c r="GI42" s="436">
        <v>43522</v>
      </c>
      <c r="GJ42" s="436">
        <v>44338</v>
      </c>
      <c r="GK42" s="437">
        <v>40312</v>
      </c>
    </row>
    <row r="45" spans="1:193" ht="15.75" thickBot="1">
      <c r="A45" s="357" t="s">
        <v>236</v>
      </c>
    </row>
    <row r="46" spans="1:193" ht="15.75" thickBot="1">
      <c r="A46" s="26" t="s">
        <v>177</v>
      </c>
      <c r="B46" s="230">
        <v>36892</v>
      </c>
      <c r="C46" s="230">
        <v>36923</v>
      </c>
      <c r="D46" s="230">
        <v>36951</v>
      </c>
      <c r="E46" s="230">
        <v>36982</v>
      </c>
      <c r="F46" s="230">
        <v>37012</v>
      </c>
      <c r="G46" s="230">
        <v>37043</v>
      </c>
      <c r="H46" s="230">
        <v>37073</v>
      </c>
      <c r="I46" s="230">
        <v>37104</v>
      </c>
      <c r="J46" s="230">
        <v>37135</v>
      </c>
      <c r="K46" s="230">
        <v>37165</v>
      </c>
      <c r="L46" s="230">
        <v>37196</v>
      </c>
      <c r="M46" s="230">
        <v>37226</v>
      </c>
      <c r="N46" s="230">
        <v>37257</v>
      </c>
      <c r="O46" s="230">
        <v>37288</v>
      </c>
      <c r="P46" s="230">
        <v>37316</v>
      </c>
      <c r="Q46" s="230">
        <v>37347</v>
      </c>
      <c r="R46" s="230">
        <v>37377</v>
      </c>
      <c r="S46" s="230">
        <v>37408</v>
      </c>
      <c r="T46" s="230">
        <v>37438</v>
      </c>
      <c r="U46" s="230">
        <v>37469</v>
      </c>
      <c r="V46" s="230">
        <v>37500</v>
      </c>
      <c r="W46" s="230">
        <v>37530</v>
      </c>
      <c r="X46" s="230">
        <v>37561</v>
      </c>
      <c r="Y46" s="230">
        <v>37591</v>
      </c>
      <c r="Z46" s="230">
        <v>37622</v>
      </c>
      <c r="AA46" s="230">
        <v>37653</v>
      </c>
      <c r="AB46" s="230">
        <v>37681</v>
      </c>
      <c r="AC46" s="230">
        <v>37712</v>
      </c>
      <c r="AD46" s="230">
        <v>37742</v>
      </c>
      <c r="AE46" s="230">
        <v>37773</v>
      </c>
      <c r="AF46" s="230">
        <v>37803</v>
      </c>
      <c r="AG46" s="230">
        <v>37834</v>
      </c>
      <c r="AH46" s="230">
        <v>37865</v>
      </c>
      <c r="AI46" s="230">
        <v>37895</v>
      </c>
      <c r="AJ46" s="230">
        <v>37926</v>
      </c>
      <c r="AK46" s="230">
        <v>37956</v>
      </c>
      <c r="AL46" s="230">
        <v>37987</v>
      </c>
      <c r="AM46" s="230">
        <v>38018</v>
      </c>
      <c r="AN46" s="230">
        <v>38047</v>
      </c>
      <c r="AO46" s="230">
        <v>38078</v>
      </c>
      <c r="AP46" s="230">
        <v>38108</v>
      </c>
      <c r="AQ46" s="230">
        <v>38139</v>
      </c>
      <c r="AR46" s="230">
        <v>38169</v>
      </c>
      <c r="AS46" s="230">
        <v>38200</v>
      </c>
      <c r="AT46" s="230">
        <v>38231</v>
      </c>
      <c r="AU46" s="230">
        <v>38261</v>
      </c>
      <c r="AV46" s="230">
        <v>38292</v>
      </c>
      <c r="AW46" s="230">
        <v>38322</v>
      </c>
      <c r="AX46" s="230">
        <v>38353</v>
      </c>
      <c r="AY46" s="230">
        <v>38384</v>
      </c>
      <c r="AZ46" s="230">
        <v>38412</v>
      </c>
      <c r="BA46" s="230">
        <v>38443</v>
      </c>
      <c r="BB46" s="230">
        <v>38473</v>
      </c>
      <c r="BC46" s="230">
        <v>38504</v>
      </c>
      <c r="BD46" s="230">
        <v>38534</v>
      </c>
      <c r="BE46" s="230">
        <v>38565</v>
      </c>
      <c r="BF46" s="230">
        <v>38596</v>
      </c>
      <c r="BG46" s="230">
        <v>38626</v>
      </c>
      <c r="BH46" s="230">
        <v>38657</v>
      </c>
      <c r="BI46" s="230">
        <v>38687</v>
      </c>
      <c r="BJ46" s="230">
        <v>38718</v>
      </c>
      <c r="BK46" s="230">
        <v>38749</v>
      </c>
      <c r="BL46" s="230">
        <v>38777</v>
      </c>
      <c r="BM46" s="230">
        <v>38808</v>
      </c>
      <c r="BN46" s="230">
        <v>38838</v>
      </c>
      <c r="BO46" s="230">
        <v>38869</v>
      </c>
      <c r="BP46" s="230">
        <v>38899</v>
      </c>
      <c r="BQ46" s="230">
        <v>38930</v>
      </c>
      <c r="BR46" s="230">
        <v>38961</v>
      </c>
      <c r="BS46" s="230">
        <v>38991</v>
      </c>
      <c r="BT46" s="230">
        <v>39022</v>
      </c>
      <c r="BU46" s="230">
        <v>39052</v>
      </c>
      <c r="BV46" s="230">
        <v>39083</v>
      </c>
      <c r="BW46" s="230">
        <v>39114</v>
      </c>
      <c r="BX46" s="230">
        <v>39142</v>
      </c>
      <c r="BY46" s="230">
        <v>39173</v>
      </c>
      <c r="BZ46" s="230">
        <v>39203</v>
      </c>
      <c r="CA46" s="230">
        <v>39234</v>
      </c>
      <c r="CB46" s="230">
        <v>39264</v>
      </c>
      <c r="CC46" s="230">
        <v>39295</v>
      </c>
      <c r="CD46" s="230">
        <v>39326</v>
      </c>
      <c r="CE46" s="230">
        <v>39356</v>
      </c>
      <c r="CF46" s="438">
        <v>39387</v>
      </c>
      <c r="CG46" s="438">
        <v>39417</v>
      </c>
      <c r="CH46" s="438">
        <v>39448</v>
      </c>
      <c r="CI46" s="438">
        <v>39479</v>
      </c>
      <c r="CJ46" s="438">
        <v>39508</v>
      </c>
      <c r="CK46" s="438">
        <v>39539</v>
      </c>
      <c r="CL46" s="438">
        <v>39569</v>
      </c>
      <c r="CM46" s="438">
        <v>39600</v>
      </c>
      <c r="CN46" s="438">
        <v>39630</v>
      </c>
      <c r="CO46" s="438">
        <v>39661</v>
      </c>
      <c r="CP46" s="438">
        <v>39692</v>
      </c>
      <c r="CQ46" s="438">
        <v>39722</v>
      </c>
      <c r="CR46" s="438">
        <v>39753</v>
      </c>
      <c r="CS46" s="438">
        <v>39783</v>
      </c>
      <c r="CT46" s="438">
        <v>39814</v>
      </c>
      <c r="CU46" s="438">
        <v>39845</v>
      </c>
      <c r="CV46" s="438">
        <v>39873</v>
      </c>
      <c r="CW46" s="438">
        <v>39904</v>
      </c>
      <c r="CX46" s="438">
        <v>39934</v>
      </c>
      <c r="CY46" s="438">
        <v>39965</v>
      </c>
      <c r="CZ46" s="438">
        <v>39995</v>
      </c>
      <c r="DA46" s="438">
        <v>40026</v>
      </c>
      <c r="DB46" s="438">
        <v>40057</v>
      </c>
      <c r="DC46" s="438">
        <v>40087</v>
      </c>
      <c r="DD46" s="438">
        <v>40118</v>
      </c>
      <c r="DE46" s="438">
        <v>40148</v>
      </c>
      <c r="DF46" s="438">
        <v>40179</v>
      </c>
      <c r="DG46" s="438">
        <v>40210</v>
      </c>
      <c r="DH46" s="438">
        <v>40238</v>
      </c>
      <c r="DI46" s="438">
        <v>40269</v>
      </c>
      <c r="DJ46" s="438">
        <v>40299</v>
      </c>
      <c r="DK46" s="438">
        <v>40330</v>
      </c>
      <c r="DL46" s="438">
        <v>40360</v>
      </c>
      <c r="DM46" s="438">
        <v>40391</v>
      </c>
      <c r="DN46" s="438">
        <v>40422</v>
      </c>
      <c r="DO46" s="438">
        <v>40452</v>
      </c>
      <c r="DP46" s="438">
        <v>40483</v>
      </c>
      <c r="DQ46" s="438">
        <v>40513</v>
      </c>
      <c r="DR46" s="438">
        <v>40544</v>
      </c>
      <c r="DS46" s="438">
        <v>40575</v>
      </c>
      <c r="DT46" s="438">
        <v>40603</v>
      </c>
      <c r="DU46" s="438">
        <v>40634</v>
      </c>
      <c r="DV46" s="438">
        <v>40664</v>
      </c>
      <c r="DW46" s="438">
        <v>40695</v>
      </c>
      <c r="DX46" s="438">
        <v>40725</v>
      </c>
      <c r="DY46" s="438">
        <v>40756</v>
      </c>
      <c r="DZ46" s="438">
        <v>40787</v>
      </c>
      <c r="EA46" s="438">
        <v>40817</v>
      </c>
      <c r="EB46" s="438">
        <v>40848</v>
      </c>
      <c r="EC46" s="438">
        <v>40878</v>
      </c>
      <c r="ED46" s="438">
        <v>40909</v>
      </c>
      <c r="EE46" s="438">
        <v>40940</v>
      </c>
      <c r="EF46" s="438">
        <v>40969</v>
      </c>
      <c r="EG46" s="438">
        <v>41000</v>
      </c>
      <c r="EH46" s="438">
        <v>41030</v>
      </c>
      <c r="EI46" s="438">
        <v>41061</v>
      </c>
      <c r="EJ46" s="438">
        <v>41091</v>
      </c>
      <c r="EK46" s="438">
        <v>41122</v>
      </c>
      <c r="EL46" s="438">
        <v>41153</v>
      </c>
      <c r="EM46" s="438">
        <v>41183</v>
      </c>
      <c r="EN46" s="438">
        <v>41214</v>
      </c>
      <c r="EO46" s="438">
        <v>41244</v>
      </c>
      <c r="EP46" s="438">
        <v>41275</v>
      </c>
      <c r="EQ46" s="438">
        <v>41306</v>
      </c>
      <c r="ER46" s="438">
        <v>41334</v>
      </c>
      <c r="ES46" s="438">
        <v>41365</v>
      </c>
      <c r="ET46" s="438">
        <v>41395</v>
      </c>
      <c r="EU46" s="438">
        <v>41426</v>
      </c>
      <c r="EV46" s="438">
        <v>41456</v>
      </c>
      <c r="EW46" s="438">
        <v>41487</v>
      </c>
      <c r="EX46" s="438">
        <v>41518</v>
      </c>
      <c r="EY46" s="438">
        <v>41548</v>
      </c>
      <c r="EZ46" s="438">
        <v>41579</v>
      </c>
      <c r="FA46" s="438">
        <v>41609</v>
      </c>
      <c r="FB46" s="438">
        <v>41640</v>
      </c>
      <c r="FC46" s="438">
        <v>41671</v>
      </c>
      <c r="FD46" s="438">
        <v>41699</v>
      </c>
      <c r="FE46" s="438">
        <v>41730</v>
      </c>
      <c r="FF46" s="438">
        <v>41760</v>
      </c>
      <c r="FG46" s="438">
        <v>41791</v>
      </c>
      <c r="FH46" s="438">
        <v>41821</v>
      </c>
      <c r="FI46" s="438">
        <v>41852</v>
      </c>
      <c r="FJ46" s="438">
        <v>41883</v>
      </c>
      <c r="FK46" s="438">
        <v>41913</v>
      </c>
      <c r="FL46" s="438">
        <v>41944</v>
      </c>
      <c r="FM46" s="438">
        <v>41974</v>
      </c>
      <c r="FN46" s="438">
        <v>42005</v>
      </c>
      <c r="FO46" s="438">
        <v>42036</v>
      </c>
      <c r="FP46" s="438">
        <v>42064</v>
      </c>
      <c r="FQ46" s="438">
        <v>42095</v>
      </c>
      <c r="FR46" s="438">
        <v>42125</v>
      </c>
      <c r="FS46" s="438">
        <v>42156</v>
      </c>
      <c r="FT46" s="438">
        <v>42186</v>
      </c>
      <c r="FU46" s="438">
        <v>42217</v>
      </c>
      <c r="FV46" s="438">
        <v>42248</v>
      </c>
      <c r="FW46" s="438">
        <v>42278</v>
      </c>
      <c r="FX46" s="438">
        <v>42309</v>
      </c>
      <c r="FY46" s="438">
        <v>42339</v>
      </c>
      <c r="FZ46" s="438">
        <v>42370</v>
      </c>
      <c r="GA46" s="438">
        <v>42401</v>
      </c>
      <c r="GB46" s="438">
        <v>42430</v>
      </c>
      <c r="GC46" s="438">
        <v>42461</v>
      </c>
      <c r="GD46" s="438">
        <v>42491</v>
      </c>
      <c r="GE46" s="438">
        <v>42522</v>
      </c>
      <c r="GF46" s="438">
        <v>42552</v>
      </c>
      <c r="GG46" s="438">
        <v>42583</v>
      </c>
      <c r="GH46" s="438">
        <v>42614</v>
      </c>
      <c r="GI46" s="438">
        <v>42644</v>
      </c>
      <c r="GJ46" s="438">
        <v>42675</v>
      </c>
      <c r="GK46" s="439">
        <v>42705</v>
      </c>
    </row>
    <row r="47" spans="1:193">
      <c r="A47" s="231" t="s">
        <v>337</v>
      </c>
      <c r="B47" s="348">
        <v>1295</v>
      </c>
      <c r="C47" s="348">
        <v>1290</v>
      </c>
      <c r="D47" s="348">
        <v>1361</v>
      </c>
      <c r="E47" s="348">
        <v>1356</v>
      </c>
      <c r="F47" s="348">
        <v>1379</v>
      </c>
      <c r="G47" s="348">
        <v>1340</v>
      </c>
      <c r="H47" s="348">
        <v>1412</v>
      </c>
      <c r="I47" s="348">
        <v>1397</v>
      </c>
      <c r="J47" s="348">
        <v>1317</v>
      </c>
      <c r="K47" s="348">
        <v>1317</v>
      </c>
      <c r="L47" s="348">
        <v>1290</v>
      </c>
      <c r="M47" s="348">
        <v>1187</v>
      </c>
      <c r="N47" s="348">
        <v>1236</v>
      </c>
      <c r="O47" s="348">
        <v>983</v>
      </c>
      <c r="P47" s="348">
        <v>1386</v>
      </c>
      <c r="Q47" s="348">
        <v>1235</v>
      </c>
      <c r="R47" s="348">
        <v>1367</v>
      </c>
      <c r="S47" s="348">
        <v>1309</v>
      </c>
      <c r="T47" s="348">
        <v>1261</v>
      </c>
      <c r="U47" s="348">
        <v>1248</v>
      </c>
      <c r="V47" s="348">
        <v>1337</v>
      </c>
      <c r="W47" s="348">
        <v>1478</v>
      </c>
      <c r="X47" s="348">
        <v>1457</v>
      </c>
      <c r="Y47" s="348">
        <v>1471</v>
      </c>
      <c r="Z47" s="348">
        <v>1448</v>
      </c>
      <c r="AA47" s="348">
        <v>1385</v>
      </c>
      <c r="AB47" s="348">
        <v>1488</v>
      </c>
      <c r="AC47" s="348">
        <v>1530</v>
      </c>
      <c r="AD47" s="348">
        <v>1496</v>
      </c>
      <c r="AE47" s="348">
        <v>1530</v>
      </c>
      <c r="AF47" s="348">
        <v>1442</v>
      </c>
      <c r="AG47" s="348">
        <v>1438</v>
      </c>
      <c r="AH47" s="348">
        <v>1435</v>
      </c>
      <c r="AI47" s="348">
        <v>1392</v>
      </c>
      <c r="AJ47" s="348">
        <v>1058</v>
      </c>
      <c r="AK47" s="348">
        <v>872</v>
      </c>
      <c r="AL47" s="348">
        <v>941</v>
      </c>
      <c r="AM47" s="348">
        <v>944</v>
      </c>
      <c r="AN47" s="348">
        <v>966</v>
      </c>
      <c r="AO47" s="348">
        <v>954</v>
      </c>
      <c r="AP47" s="348">
        <v>1055</v>
      </c>
      <c r="AQ47" s="348">
        <v>1090</v>
      </c>
      <c r="AR47" s="348">
        <v>1129</v>
      </c>
      <c r="AS47" s="348">
        <v>1355</v>
      </c>
      <c r="AT47" s="348">
        <v>1322</v>
      </c>
      <c r="AU47" s="348">
        <v>1409</v>
      </c>
      <c r="AV47" s="348">
        <v>1471</v>
      </c>
      <c r="AW47" s="348">
        <v>1290</v>
      </c>
      <c r="AX47" s="348">
        <v>1331</v>
      </c>
      <c r="AY47" s="348">
        <v>1397</v>
      </c>
      <c r="AZ47" s="348">
        <v>1464</v>
      </c>
      <c r="BA47" s="348">
        <v>1400</v>
      </c>
      <c r="BB47" s="348">
        <v>1500</v>
      </c>
      <c r="BC47" s="348">
        <v>1436</v>
      </c>
      <c r="BD47" s="348">
        <v>1644</v>
      </c>
      <c r="BE47" s="348">
        <v>1696</v>
      </c>
      <c r="BF47" s="348">
        <v>1794</v>
      </c>
      <c r="BG47" s="348">
        <v>2137</v>
      </c>
      <c r="BH47" s="348">
        <v>1978</v>
      </c>
      <c r="BI47" s="348">
        <v>1782</v>
      </c>
      <c r="BJ47" s="348">
        <v>1921</v>
      </c>
      <c r="BK47" s="348">
        <v>1816</v>
      </c>
      <c r="BL47" s="348">
        <v>2032</v>
      </c>
      <c r="BM47" s="348">
        <v>1959</v>
      </c>
      <c r="BN47" s="348">
        <v>2055</v>
      </c>
      <c r="BO47" s="348">
        <v>2012</v>
      </c>
      <c r="BP47" s="348">
        <v>2012</v>
      </c>
      <c r="BQ47" s="348">
        <v>2130</v>
      </c>
      <c r="BR47" s="348">
        <v>2190</v>
      </c>
      <c r="BS47" s="348">
        <v>2294</v>
      </c>
      <c r="BT47" s="348">
        <v>2438</v>
      </c>
      <c r="BU47" s="348">
        <v>2266</v>
      </c>
      <c r="BV47" s="348">
        <v>2431</v>
      </c>
      <c r="BW47" s="348">
        <v>2515</v>
      </c>
      <c r="BX47" s="348">
        <v>2688</v>
      </c>
      <c r="BY47" s="348">
        <v>2445</v>
      </c>
      <c r="BZ47" s="348">
        <v>2475</v>
      </c>
      <c r="CA47" s="348">
        <v>2256</v>
      </c>
      <c r="CB47" s="348">
        <v>2304</v>
      </c>
      <c r="CC47" s="348">
        <v>2474</v>
      </c>
      <c r="CD47" s="348">
        <v>2387</v>
      </c>
      <c r="CE47" s="348">
        <v>2593</v>
      </c>
      <c r="CF47" s="441">
        <v>2622</v>
      </c>
      <c r="CG47" s="441">
        <v>2377</v>
      </c>
      <c r="CH47" s="441">
        <v>2427</v>
      </c>
      <c r="CI47" s="441">
        <v>2541</v>
      </c>
      <c r="CJ47" s="441">
        <v>2628</v>
      </c>
      <c r="CK47" s="441">
        <v>2536</v>
      </c>
      <c r="CL47" s="441">
        <v>2638</v>
      </c>
      <c r="CM47" s="441">
        <v>2610</v>
      </c>
      <c r="CN47" s="441">
        <v>2726</v>
      </c>
      <c r="CO47" s="441">
        <v>2409</v>
      </c>
      <c r="CP47" s="441">
        <v>2313</v>
      </c>
      <c r="CQ47" s="441">
        <v>2398</v>
      </c>
      <c r="CR47" s="441">
        <v>2174</v>
      </c>
      <c r="CS47" s="441">
        <v>2070</v>
      </c>
      <c r="CT47" s="441">
        <v>1614</v>
      </c>
      <c r="CU47" s="441">
        <v>1342</v>
      </c>
      <c r="CV47" s="441">
        <v>1443</v>
      </c>
      <c r="CW47" s="441">
        <v>1375</v>
      </c>
      <c r="CX47" s="441">
        <v>1481</v>
      </c>
      <c r="CY47" s="441">
        <v>1487</v>
      </c>
      <c r="CZ47" s="441">
        <v>1474</v>
      </c>
      <c r="DA47" s="441">
        <v>1444</v>
      </c>
      <c r="DB47" s="441">
        <v>1463</v>
      </c>
      <c r="DC47" s="441">
        <v>1531</v>
      </c>
      <c r="DD47" s="441">
        <v>1494</v>
      </c>
      <c r="DE47" s="441">
        <v>1566</v>
      </c>
      <c r="DF47" s="441">
        <v>1475</v>
      </c>
      <c r="DG47" s="441">
        <v>1662</v>
      </c>
      <c r="DH47" s="441">
        <v>1893</v>
      </c>
      <c r="DI47" s="441">
        <v>1946</v>
      </c>
      <c r="DJ47" s="441">
        <v>2038</v>
      </c>
      <c r="DK47" s="441">
        <v>2000</v>
      </c>
      <c r="DL47" s="441">
        <v>2045</v>
      </c>
      <c r="DM47" s="441">
        <v>1994</v>
      </c>
      <c r="DN47" s="441">
        <v>1931</v>
      </c>
      <c r="DO47" s="441">
        <v>1938</v>
      </c>
      <c r="DP47" s="441">
        <v>1891</v>
      </c>
      <c r="DQ47" s="441">
        <v>1983</v>
      </c>
      <c r="DR47" s="441">
        <v>1854</v>
      </c>
      <c r="DS47" s="441">
        <v>1742</v>
      </c>
      <c r="DT47" s="441">
        <v>2411</v>
      </c>
      <c r="DU47" s="441">
        <v>2062</v>
      </c>
      <c r="DV47" s="441">
        <v>2298</v>
      </c>
      <c r="DW47" s="441">
        <v>2348</v>
      </c>
      <c r="DX47" s="441">
        <v>2353</v>
      </c>
      <c r="DY47" s="441">
        <v>2441</v>
      </c>
      <c r="DZ47" s="441">
        <v>2389</v>
      </c>
      <c r="EA47" s="441">
        <v>2495</v>
      </c>
      <c r="EB47" s="441">
        <v>2675</v>
      </c>
      <c r="EC47" s="441">
        <v>2550</v>
      </c>
      <c r="ED47" s="441">
        <v>2702</v>
      </c>
      <c r="EE47" s="441">
        <v>2693</v>
      </c>
      <c r="EF47" s="441">
        <v>2752</v>
      </c>
      <c r="EG47" s="441">
        <v>2759</v>
      </c>
      <c r="EH47" s="441">
        <v>2867</v>
      </c>
      <c r="EI47" s="441">
        <v>2766</v>
      </c>
      <c r="EJ47" s="441">
        <v>2917</v>
      </c>
      <c r="EK47" s="441">
        <v>3002</v>
      </c>
      <c r="EL47" s="441">
        <v>2838</v>
      </c>
      <c r="EM47" s="441">
        <v>2730</v>
      </c>
      <c r="EN47" s="441">
        <v>2440</v>
      </c>
      <c r="EO47" s="441">
        <v>2311</v>
      </c>
      <c r="EP47" s="441">
        <v>2295</v>
      </c>
      <c r="EQ47" s="441">
        <v>2341</v>
      </c>
      <c r="ER47" s="441">
        <v>2593</v>
      </c>
      <c r="ES47" s="441">
        <v>2436</v>
      </c>
      <c r="ET47" s="441">
        <v>2586</v>
      </c>
      <c r="EU47" s="441">
        <v>2484</v>
      </c>
      <c r="EV47" s="441">
        <v>2609</v>
      </c>
      <c r="EW47" s="441">
        <v>2557</v>
      </c>
      <c r="EX47" s="441">
        <v>2374</v>
      </c>
      <c r="EY47" s="441">
        <v>2555</v>
      </c>
      <c r="EZ47" s="441">
        <v>2368</v>
      </c>
      <c r="FA47" s="441">
        <v>2407</v>
      </c>
      <c r="FB47" s="441">
        <v>2409</v>
      </c>
      <c r="FC47" s="441">
        <v>2393</v>
      </c>
      <c r="FD47" s="441">
        <v>2529</v>
      </c>
      <c r="FE47" s="441">
        <v>2026</v>
      </c>
      <c r="FF47" s="441">
        <v>2167</v>
      </c>
      <c r="FG47" s="441">
        <v>2013</v>
      </c>
      <c r="FH47" s="441">
        <v>2095</v>
      </c>
      <c r="FI47" s="441">
        <v>2398</v>
      </c>
      <c r="FJ47" s="441">
        <v>2341</v>
      </c>
      <c r="FK47" s="441">
        <v>2417</v>
      </c>
      <c r="FL47" s="441">
        <v>2414</v>
      </c>
      <c r="FM47" s="441">
        <v>2321</v>
      </c>
      <c r="FN47" s="441">
        <v>2323</v>
      </c>
      <c r="FO47" s="441">
        <v>2055</v>
      </c>
      <c r="FP47" s="441">
        <v>2185</v>
      </c>
      <c r="FQ47" s="441">
        <v>2102</v>
      </c>
      <c r="FR47" s="441">
        <v>2204</v>
      </c>
      <c r="FS47" s="441">
        <v>2031</v>
      </c>
      <c r="FT47" s="441">
        <v>2228</v>
      </c>
      <c r="FU47" s="441">
        <v>2115</v>
      </c>
      <c r="FV47" s="441">
        <v>1976</v>
      </c>
      <c r="FW47" s="441">
        <v>2066</v>
      </c>
      <c r="FX47" s="441">
        <v>1953</v>
      </c>
      <c r="FY47" s="441">
        <v>1956</v>
      </c>
      <c r="FZ47" s="441">
        <v>1981</v>
      </c>
      <c r="GA47" s="441">
        <v>1891</v>
      </c>
      <c r="GB47" s="441">
        <v>1929</v>
      </c>
      <c r="GC47" s="441">
        <v>1754</v>
      </c>
      <c r="GD47" s="441">
        <v>1884</v>
      </c>
      <c r="GE47" s="441">
        <v>1843</v>
      </c>
      <c r="GF47" s="441">
        <v>1870</v>
      </c>
      <c r="GG47" s="441">
        <v>1910</v>
      </c>
      <c r="GH47" s="441">
        <v>1762</v>
      </c>
      <c r="GI47" s="441">
        <v>1899</v>
      </c>
      <c r="GJ47" s="441">
        <v>1827</v>
      </c>
      <c r="GK47" s="430">
        <v>1845</v>
      </c>
    </row>
    <row r="48" spans="1:193">
      <c r="A48" s="231" t="s">
        <v>240</v>
      </c>
      <c r="B48" s="442">
        <v>5734</v>
      </c>
      <c r="C48" s="442">
        <v>5712</v>
      </c>
      <c r="D48" s="442">
        <v>5808</v>
      </c>
      <c r="E48" s="442">
        <v>5808</v>
      </c>
      <c r="F48" s="442">
        <v>5963</v>
      </c>
      <c r="G48" s="442">
        <v>5960</v>
      </c>
      <c r="H48" s="442">
        <v>5962</v>
      </c>
      <c r="I48" s="442">
        <v>6159</v>
      </c>
      <c r="J48" s="442">
        <v>5879</v>
      </c>
      <c r="K48" s="442">
        <v>6062</v>
      </c>
      <c r="L48" s="442">
        <v>6001</v>
      </c>
      <c r="M48" s="442">
        <v>6972</v>
      </c>
      <c r="N48" s="442">
        <v>6520</v>
      </c>
      <c r="O48" s="442">
        <v>6033</v>
      </c>
      <c r="P48" s="442">
        <v>6217</v>
      </c>
      <c r="Q48" s="442">
        <v>6069</v>
      </c>
      <c r="R48" s="442">
        <v>6226</v>
      </c>
      <c r="S48" s="442">
        <v>6085</v>
      </c>
      <c r="T48" s="442">
        <v>6237</v>
      </c>
      <c r="U48" s="442">
        <v>6089</v>
      </c>
      <c r="V48" s="442">
        <v>6196</v>
      </c>
      <c r="W48" s="442">
        <v>6437</v>
      </c>
      <c r="X48" s="442">
        <v>6853</v>
      </c>
      <c r="Y48" s="442">
        <v>6151</v>
      </c>
      <c r="Z48" s="442">
        <v>6277</v>
      </c>
      <c r="AA48" s="442">
        <v>6091</v>
      </c>
      <c r="AB48" s="442">
        <v>6226</v>
      </c>
      <c r="AC48" s="442">
        <v>6176</v>
      </c>
      <c r="AD48" s="442">
        <v>6520</v>
      </c>
      <c r="AE48" s="442">
        <v>6340</v>
      </c>
      <c r="AF48" s="442">
        <v>6419</v>
      </c>
      <c r="AG48" s="442">
        <v>6613</v>
      </c>
      <c r="AH48" s="442">
        <v>6116</v>
      </c>
      <c r="AI48" s="442">
        <v>6559</v>
      </c>
      <c r="AJ48" s="442">
        <v>6472</v>
      </c>
      <c r="AK48" s="442">
        <v>6113</v>
      </c>
      <c r="AL48" s="442">
        <v>6165</v>
      </c>
      <c r="AM48" s="442">
        <v>6309</v>
      </c>
      <c r="AN48" s="442">
        <v>6672</v>
      </c>
      <c r="AO48" s="442">
        <v>6565</v>
      </c>
      <c r="AP48" s="442">
        <v>6668</v>
      </c>
      <c r="AQ48" s="442">
        <v>6536</v>
      </c>
      <c r="AR48" s="442">
        <v>6987</v>
      </c>
      <c r="AS48" s="442">
        <v>6946</v>
      </c>
      <c r="AT48" s="442">
        <v>7113</v>
      </c>
      <c r="AU48" s="442">
        <v>7042</v>
      </c>
      <c r="AV48" s="442">
        <v>7525</v>
      </c>
      <c r="AW48" s="442">
        <v>8330</v>
      </c>
      <c r="AX48" s="442">
        <v>7626</v>
      </c>
      <c r="AY48" s="442">
        <v>7665</v>
      </c>
      <c r="AZ48" s="442">
        <v>8070</v>
      </c>
      <c r="BA48" s="442">
        <v>8498</v>
      </c>
      <c r="BB48" s="442">
        <v>9141</v>
      </c>
      <c r="BC48" s="442">
        <v>8834</v>
      </c>
      <c r="BD48" s="442">
        <v>9001</v>
      </c>
      <c r="BE48" s="442">
        <v>9330</v>
      </c>
      <c r="BF48" s="442">
        <v>9254</v>
      </c>
      <c r="BG48" s="442">
        <v>8435</v>
      </c>
      <c r="BH48" s="442">
        <v>9633</v>
      </c>
      <c r="BI48" s="442">
        <v>9340</v>
      </c>
      <c r="BJ48" s="442">
        <v>8785</v>
      </c>
      <c r="BK48" s="442">
        <v>9271</v>
      </c>
      <c r="BL48" s="442">
        <v>9599</v>
      </c>
      <c r="BM48" s="442">
        <v>7787</v>
      </c>
      <c r="BN48" s="442">
        <v>10178</v>
      </c>
      <c r="BO48" s="442">
        <v>9656</v>
      </c>
      <c r="BP48" s="442">
        <v>9365</v>
      </c>
      <c r="BQ48" s="442">
        <v>8254</v>
      </c>
      <c r="BR48" s="442">
        <v>7572</v>
      </c>
      <c r="BS48" s="442">
        <v>7868</v>
      </c>
      <c r="BT48" s="442">
        <v>8130</v>
      </c>
      <c r="BU48" s="442">
        <v>7821</v>
      </c>
      <c r="BV48" s="442">
        <v>7667</v>
      </c>
      <c r="BW48" s="442">
        <v>7940</v>
      </c>
      <c r="BX48" s="442">
        <v>8403</v>
      </c>
      <c r="BY48" s="442">
        <v>7464</v>
      </c>
      <c r="BZ48" s="442">
        <v>8363</v>
      </c>
      <c r="CA48" s="442">
        <v>8022</v>
      </c>
      <c r="CB48" s="442">
        <v>8217</v>
      </c>
      <c r="CC48" s="442">
        <v>8269</v>
      </c>
      <c r="CD48" s="442">
        <v>7924</v>
      </c>
      <c r="CE48" s="442">
        <v>8075</v>
      </c>
      <c r="CF48" s="442">
        <v>8049</v>
      </c>
      <c r="CG48" s="442">
        <v>7765</v>
      </c>
      <c r="CH48" s="442">
        <v>7589</v>
      </c>
      <c r="CI48" s="442">
        <v>8163</v>
      </c>
      <c r="CJ48" s="442">
        <v>7570</v>
      </c>
      <c r="CK48" s="442">
        <v>7771</v>
      </c>
      <c r="CL48" s="442">
        <v>7795</v>
      </c>
      <c r="CM48" s="442">
        <v>7790</v>
      </c>
      <c r="CN48" s="442">
        <v>7989</v>
      </c>
      <c r="CO48" s="442">
        <v>7899</v>
      </c>
      <c r="CP48" s="442">
        <v>7863</v>
      </c>
      <c r="CQ48" s="442">
        <v>8164</v>
      </c>
      <c r="CR48" s="442">
        <v>8047</v>
      </c>
      <c r="CS48" s="442">
        <v>7764</v>
      </c>
      <c r="CT48" s="442">
        <v>7687</v>
      </c>
      <c r="CU48" s="442">
        <v>8258</v>
      </c>
      <c r="CV48" s="442">
        <v>8118</v>
      </c>
      <c r="CW48" s="442">
        <v>7823</v>
      </c>
      <c r="CX48" s="442">
        <v>7951</v>
      </c>
      <c r="CY48" s="442">
        <v>7873</v>
      </c>
      <c r="CZ48" s="442">
        <v>8143</v>
      </c>
      <c r="DA48" s="442">
        <v>7993</v>
      </c>
      <c r="DB48" s="442">
        <v>8326</v>
      </c>
      <c r="DC48" s="442">
        <v>8312</v>
      </c>
      <c r="DD48" s="442">
        <v>8772</v>
      </c>
      <c r="DE48" s="442">
        <v>8452</v>
      </c>
      <c r="DF48" s="442">
        <v>8388</v>
      </c>
      <c r="DG48" s="442">
        <v>8926</v>
      </c>
      <c r="DH48" s="442">
        <v>9401</v>
      </c>
      <c r="DI48" s="442">
        <v>8865</v>
      </c>
      <c r="DJ48" s="442">
        <v>9424</v>
      </c>
      <c r="DK48" s="442">
        <v>9472</v>
      </c>
      <c r="DL48" s="442">
        <v>9978</v>
      </c>
      <c r="DM48" s="442">
        <v>10017</v>
      </c>
      <c r="DN48" s="442">
        <v>10157</v>
      </c>
      <c r="DO48" s="442">
        <v>10788</v>
      </c>
      <c r="DP48" s="442">
        <v>11289</v>
      </c>
      <c r="DQ48" s="442">
        <v>10350</v>
      </c>
      <c r="DR48" s="442">
        <v>10336</v>
      </c>
      <c r="DS48" s="442">
        <v>11763</v>
      </c>
      <c r="DT48" s="442">
        <v>12401</v>
      </c>
      <c r="DU48" s="442">
        <v>11060</v>
      </c>
      <c r="DV48" s="442">
        <v>12692</v>
      </c>
      <c r="DW48" s="442">
        <v>12299</v>
      </c>
      <c r="DX48" s="442">
        <v>12244</v>
      </c>
      <c r="DY48" s="442">
        <v>12270</v>
      </c>
      <c r="DZ48" s="442">
        <v>11407</v>
      </c>
      <c r="EA48" s="442">
        <v>11607</v>
      </c>
      <c r="EB48" s="442">
        <v>11525</v>
      </c>
      <c r="EC48" s="442">
        <v>10321</v>
      </c>
      <c r="ED48" s="442">
        <v>9363</v>
      </c>
      <c r="EE48" s="442">
        <v>9927</v>
      </c>
      <c r="EF48" s="442">
        <v>10026</v>
      </c>
      <c r="EG48" s="442">
        <v>9574</v>
      </c>
      <c r="EH48" s="442">
        <v>8706</v>
      </c>
      <c r="EI48" s="442">
        <v>7483</v>
      </c>
      <c r="EJ48" s="442">
        <v>7574</v>
      </c>
      <c r="EK48" s="442">
        <v>7569</v>
      </c>
      <c r="EL48" s="442">
        <v>6931</v>
      </c>
      <c r="EM48" s="442">
        <v>7109</v>
      </c>
      <c r="EN48" s="442">
        <v>7457</v>
      </c>
      <c r="EO48" s="442">
        <v>6840</v>
      </c>
      <c r="EP48" s="442">
        <v>6845</v>
      </c>
      <c r="EQ48" s="442">
        <v>7609</v>
      </c>
      <c r="ER48" s="442">
        <v>7173</v>
      </c>
      <c r="ES48" s="442">
        <v>7314</v>
      </c>
      <c r="ET48" s="442">
        <v>7474</v>
      </c>
      <c r="EU48" s="442">
        <v>7105</v>
      </c>
      <c r="EV48" s="442">
        <v>7435</v>
      </c>
      <c r="EW48" s="442">
        <v>7082</v>
      </c>
      <c r="EX48" s="442">
        <v>6839</v>
      </c>
      <c r="EY48" s="442">
        <v>7418</v>
      </c>
      <c r="EZ48" s="442">
        <v>7381</v>
      </c>
      <c r="FA48" s="442">
        <v>6865</v>
      </c>
      <c r="FB48" s="442">
        <v>6947</v>
      </c>
      <c r="FC48" s="442">
        <v>7570</v>
      </c>
      <c r="FD48" s="442">
        <v>7579</v>
      </c>
      <c r="FE48" s="442">
        <v>7011</v>
      </c>
      <c r="FF48" s="442">
        <v>7206</v>
      </c>
      <c r="FG48" s="442">
        <v>6990</v>
      </c>
      <c r="FH48" s="442">
        <v>7001</v>
      </c>
      <c r="FI48" s="442">
        <v>6820</v>
      </c>
      <c r="FJ48" s="442">
        <v>6876</v>
      </c>
      <c r="FK48" s="442">
        <v>7240</v>
      </c>
      <c r="FL48" s="442">
        <v>7277</v>
      </c>
      <c r="FM48" s="442">
        <v>6776</v>
      </c>
      <c r="FN48" s="442">
        <v>6689</v>
      </c>
      <c r="FO48" s="442">
        <v>7239</v>
      </c>
      <c r="FP48" s="442">
        <v>7196</v>
      </c>
      <c r="FQ48" s="442">
        <v>6823</v>
      </c>
      <c r="FR48" s="442">
        <v>7125</v>
      </c>
      <c r="FS48" s="442">
        <v>7137</v>
      </c>
      <c r="FT48" s="442">
        <v>7374</v>
      </c>
      <c r="FU48" s="442">
        <v>7046</v>
      </c>
      <c r="FV48" s="442">
        <v>6817</v>
      </c>
      <c r="FW48" s="442">
        <v>7030</v>
      </c>
      <c r="FX48" s="442">
        <v>7511</v>
      </c>
      <c r="FY48" s="442">
        <v>6469</v>
      </c>
      <c r="FZ48" s="442">
        <v>6271</v>
      </c>
      <c r="GA48" s="442">
        <v>6681</v>
      </c>
      <c r="GB48" s="442">
        <v>6102</v>
      </c>
      <c r="GC48" s="442">
        <v>5916</v>
      </c>
      <c r="GD48" s="442">
        <v>6233</v>
      </c>
      <c r="GE48" s="442">
        <v>5980</v>
      </c>
      <c r="GF48" s="442">
        <v>5970</v>
      </c>
      <c r="GG48" s="442">
        <v>6280</v>
      </c>
      <c r="GH48" s="442">
        <v>5655</v>
      </c>
      <c r="GI48" s="442">
        <v>6410</v>
      </c>
      <c r="GJ48" s="442">
        <v>6114</v>
      </c>
      <c r="GK48" s="431">
        <v>6220</v>
      </c>
    </row>
    <row r="49" spans="1:648">
      <c r="A49" s="231" t="s">
        <v>243</v>
      </c>
      <c r="B49" s="348">
        <v>558</v>
      </c>
      <c r="C49" s="348">
        <v>574</v>
      </c>
      <c r="D49" s="348">
        <v>642</v>
      </c>
      <c r="E49" s="348">
        <v>534</v>
      </c>
      <c r="F49" s="348">
        <v>620</v>
      </c>
      <c r="G49" s="348">
        <v>694</v>
      </c>
      <c r="H49" s="348">
        <v>564</v>
      </c>
      <c r="I49" s="348">
        <v>590</v>
      </c>
      <c r="J49" s="348">
        <v>636</v>
      </c>
      <c r="K49" s="348">
        <v>553</v>
      </c>
      <c r="L49" s="348">
        <v>571</v>
      </c>
      <c r="M49" s="348">
        <v>588</v>
      </c>
      <c r="N49" s="348">
        <v>493</v>
      </c>
      <c r="O49" s="348">
        <v>544</v>
      </c>
      <c r="P49" s="348">
        <v>625</v>
      </c>
      <c r="Q49" s="348">
        <v>538</v>
      </c>
      <c r="R49" s="348">
        <v>569</v>
      </c>
      <c r="S49" s="348">
        <v>641</v>
      </c>
      <c r="T49" s="348">
        <v>563</v>
      </c>
      <c r="U49" s="348">
        <v>639</v>
      </c>
      <c r="V49" s="348">
        <v>544</v>
      </c>
      <c r="W49" s="348">
        <v>525</v>
      </c>
      <c r="X49" s="348">
        <v>595</v>
      </c>
      <c r="Y49" s="348">
        <v>479</v>
      </c>
      <c r="Z49" s="348">
        <v>479</v>
      </c>
      <c r="AA49" s="348">
        <v>510</v>
      </c>
      <c r="AB49" s="348">
        <v>595</v>
      </c>
      <c r="AC49" s="348">
        <v>491</v>
      </c>
      <c r="AD49" s="348">
        <v>586</v>
      </c>
      <c r="AE49" s="348">
        <v>563</v>
      </c>
      <c r="AF49" s="348">
        <v>560</v>
      </c>
      <c r="AG49" s="348">
        <v>577</v>
      </c>
      <c r="AH49" s="348">
        <v>544</v>
      </c>
      <c r="AI49" s="348">
        <v>563</v>
      </c>
      <c r="AJ49" s="348">
        <v>535</v>
      </c>
      <c r="AK49" s="348">
        <v>526</v>
      </c>
      <c r="AL49" s="348">
        <v>499</v>
      </c>
      <c r="AM49" s="348">
        <v>513</v>
      </c>
      <c r="AN49" s="348">
        <v>563</v>
      </c>
      <c r="AO49" s="348">
        <v>470</v>
      </c>
      <c r="AP49" s="348">
        <v>569</v>
      </c>
      <c r="AQ49" s="348">
        <v>549</v>
      </c>
      <c r="AR49" s="348">
        <v>539</v>
      </c>
      <c r="AS49" s="348">
        <v>587</v>
      </c>
      <c r="AT49" s="348">
        <v>589</v>
      </c>
      <c r="AU49" s="348">
        <v>536</v>
      </c>
      <c r="AV49" s="348">
        <v>567</v>
      </c>
      <c r="AW49" s="348">
        <v>554</v>
      </c>
      <c r="AX49" s="348">
        <v>534</v>
      </c>
      <c r="AY49" s="348">
        <v>563</v>
      </c>
      <c r="AZ49" s="348">
        <v>501</v>
      </c>
      <c r="BA49" s="348">
        <v>464</v>
      </c>
      <c r="BB49" s="348">
        <v>609</v>
      </c>
      <c r="BC49" s="348">
        <v>602</v>
      </c>
      <c r="BD49" s="348">
        <v>591</v>
      </c>
      <c r="BE49" s="348">
        <v>627</v>
      </c>
      <c r="BF49" s="348">
        <v>600</v>
      </c>
      <c r="BG49" s="348">
        <v>617</v>
      </c>
      <c r="BH49" s="348">
        <v>629</v>
      </c>
      <c r="BI49" s="348">
        <v>626</v>
      </c>
      <c r="BJ49" s="348">
        <v>638</v>
      </c>
      <c r="BK49" s="348">
        <v>647</v>
      </c>
      <c r="BL49" s="348">
        <v>692</v>
      </c>
      <c r="BM49" s="348">
        <v>616</v>
      </c>
      <c r="BN49" s="348">
        <v>719</v>
      </c>
      <c r="BO49" s="348">
        <v>646</v>
      </c>
      <c r="BP49" s="348">
        <v>673</v>
      </c>
      <c r="BQ49" s="348">
        <v>680</v>
      </c>
      <c r="BR49" s="348">
        <v>659</v>
      </c>
      <c r="BS49" s="348">
        <v>648</v>
      </c>
      <c r="BT49" s="348">
        <v>677</v>
      </c>
      <c r="BU49" s="348">
        <v>584</v>
      </c>
      <c r="BV49" s="348">
        <v>613</v>
      </c>
      <c r="BW49" s="348">
        <v>616</v>
      </c>
      <c r="BX49" s="348">
        <v>641</v>
      </c>
      <c r="BY49" s="348">
        <v>548</v>
      </c>
      <c r="BZ49" s="348">
        <v>632</v>
      </c>
      <c r="CA49" s="348">
        <v>614</v>
      </c>
      <c r="CB49" s="348">
        <v>633</v>
      </c>
      <c r="CC49" s="348">
        <v>610</v>
      </c>
      <c r="CD49" s="348">
        <v>620</v>
      </c>
      <c r="CE49" s="348">
        <v>602</v>
      </c>
      <c r="CF49" s="441">
        <v>646</v>
      </c>
      <c r="CG49" s="441">
        <v>589</v>
      </c>
      <c r="CH49" s="441">
        <v>603</v>
      </c>
      <c r="CI49" s="441">
        <v>658</v>
      </c>
      <c r="CJ49" s="441">
        <v>643</v>
      </c>
      <c r="CK49" s="441">
        <v>649</v>
      </c>
      <c r="CL49" s="441">
        <v>711</v>
      </c>
      <c r="CM49" s="441">
        <v>686</v>
      </c>
      <c r="CN49" s="441">
        <v>702</v>
      </c>
      <c r="CO49" s="441">
        <v>695</v>
      </c>
      <c r="CP49" s="441">
        <v>711</v>
      </c>
      <c r="CQ49" s="441">
        <v>763</v>
      </c>
      <c r="CR49" s="441">
        <v>737</v>
      </c>
      <c r="CS49" s="441">
        <v>699</v>
      </c>
      <c r="CT49" s="441">
        <v>711</v>
      </c>
      <c r="CU49" s="441">
        <v>708</v>
      </c>
      <c r="CV49" s="441">
        <v>754</v>
      </c>
      <c r="CW49" s="441">
        <v>660</v>
      </c>
      <c r="CX49" s="441">
        <v>736</v>
      </c>
      <c r="CY49" s="441">
        <v>734</v>
      </c>
      <c r="CZ49" s="441">
        <v>718</v>
      </c>
      <c r="DA49" s="441">
        <v>709</v>
      </c>
      <c r="DB49" s="441">
        <v>707</v>
      </c>
      <c r="DC49" s="441">
        <v>722</v>
      </c>
      <c r="DD49" s="441">
        <v>706</v>
      </c>
      <c r="DE49" s="441">
        <v>834</v>
      </c>
      <c r="DF49" s="441">
        <v>808</v>
      </c>
      <c r="DG49" s="441">
        <v>803</v>
      </c>
      <c r="DH49" s="441">
        <v>764</v>
      </c>
      <c r="DI49" s="441">
        <v>653</v>
      </c>
      <c r="DJ49" s="441">
        <v>725</v>
      </c>
      <c r="DK49" s="441">
        <v>720</v>
      </c>
      <c r="DL49" s="441">
        <v>683</v>
      </c>
      <c r="DM49" s="441">
        <v>706</v>
      </c>
      <c r="DN49" s="441">
        <v>677</v>
      </c>
      <c r="DO49" s="441">
        <v>668</v>
      </c>
      <c r="DP49" s="441">
        <v>693</v>
      </c>
      <c r="DQ49" s="441">
        <v>633</v>
      </c>
      <c r="DR49" s="441">
        <v>635</v>
      </c>
      <c r="DS49" s="441">
        <v>625</v>
      </c>
      <c r="DT49" s="441">
        <v>677</v>
      </c>
      <c r="DU49" s="441">
        <v>604</v>
      </c>
      <c r="DV49" s="441">
        <v>645</v>
      </c>
      <c r="DW49" s="441">
        <v>642</v>
      </c>
      <c r="DX49" s="441">
        <v>639</v>
      </c>
      <c r="DY49" s="441">
        <v>701</v>
      </c>
      <c r="DZ49" s="441">
        <v>723</v>
      </c>
      <c r="EA49" s="441">
        <v>721</v>
      </c>
      <c r="EB49" s="441">
        <v>715</v>
      </c>
      <c r="EC49" s="441">
        <v>695</v>
      </c>
      <c r="ED49" s="441">
        <v>700</v>
      </c>
      <c r="EE49" s="441">
        <v>727</v>
      </c>
      <c r="EF49" s="441">
        <v>781</v>
      </c>
      <c r="EG49" s="441">
        <v>689</v>
      </c>
      <c r="EH49" s="441">
        <v>772</v>
      </c>
      <c r="EI49" s="441">
        <v>738</v>
      </c>
      <c r="EJ49" s="441">
        <v>731</v>
      </c>
      <c r="EK49" s="441">
        <v>756</v>
      </c>
      <c r="EL49" s="441">
        <v>714</v>
      </c>
      <c r="EM49" s="441">
        <v>734</v>
      </c>
      <c r="EN49" s="441">
        <v>764</v>
      </c>
      <c r="EO49" s="441">
        <v>748</v>
      </c>
      <c r="EP49" s="441">
        <v>761</v>
      </c>
      <c r="EQ49" s="441">
        <v>711</v>
      </c>
      <c r="ER49" s="441">
        <v>721</v>
      </c>
      <c r="ES49" s="441">
        <v>668</v>
      </c>
      <c r="ET49" s="441">
        <v>736</v>
      </c>
      <c r="EU49" s="441">
        <v>705</v>
      </c>
      <c r="EV49" s="441">
        <v>716</v>
      </c>
      <c r="EW49" s="441">
        <v>718</v>
      </c>
      <c r="EX49" s="441">
        <v>667</v>
      </c>
      <c r="EY49" s="441">
        <v>682</v>
      </c>
      <c r="EZ49" s="441">
        <v>705</v>
      </c>
      <c r="FA49" s="441">
        <v>652</v>
      </c>
      <c r="FB49" s="441">
        <v>673</v>
      </c>
      <c r="FC49" s="441">
        <v>718</v>
      </c>
      <c r="FD49" s="441">
        <v>778</v>
      </c>
      <c r="FE49" s="441">
        <v>694</v>
      </c>
      <c r="FF49" s="441">
        <v>811</v>
      </c>
      <c r="FG49" s="441">
        <v>762</v>
      </c>
      <c r="FH49" s="441">
        <v>765</v>
      </c>
      <c r="FI49" s="441">
        <v>805</v>
      </c>
      <c r="FJ49" s="441">
        <v>807</v>
      </c>
      <c r="FK49" s="441">
        <v>849</v>
      </c>
      <c r="FL49" s="441">
        <v>796</v>
      </c>
      <c r="FM49" s="441">
        <v>787</v>
      </c>
      <c r="FN49" s="441">
        <v>735</v>
      </c>
      <c r="FO49" s="441">
        <v>760</v>
      </c>
      <c r="FP49" s="441">
        <v>826</v>
      </c>
      <c r="FQ49" s="441">
        <v>742</v>
      </c>
      <c r="FR49" s="441">
        <v>904</v>
      </c>
      <c r="FS49" s="441">
        <v>894</v>
      </c>
      <c r="FT49" s="441">
        <v>889</v>
      </c>
      <c r="FU49" s="441">
        <v>864</v>
      </c>
      <c r="FV49" s="441">
        <v>868</v>
      </c>
      <c r="FW49" s="441">
        <v>893</v>
      </c>
      <c r="FX49" s="441">
        <v>901</v>
      </c>
      <c r="FY49" s="441">
        <v>883</v>
      </c>
      <c r="FZ49" s="441">
        <v>821</v>
      </c>
      <c r="GA49" s="441">
        <v>827</v>
      </c>
      <c r="GB49" s="441">
        <v>822</v>
      </c>
      <c r="GC49" s="441">
        <v>810</v>
      </c>
      <c r="GD49" s="441">
        <v>822</v>
      </c>
      <c r="GE49" s="441">
        <v>788</v>
      </c>
      <c r="GF49" s="441">
        <v>822</v>
      </c>
      <c r="GG49" s="441">
        <v>796</v>
      </c>
      <c r="GH49" s="441">
        <v>747</v>
      </c>
      <c r="GI49" s="441">
        <v>803</v>
      </c>
      <c r="GJ49" s="441">
        <v>795</v>
      </c>
      <c r="GK49" s="430">
        <v>750</v>
      </c>
    </row>
    <row r="50" spans="1:648">
      <c r="A50" s="231" t="s">
        <v>245</v>
      </c>
      <c r="B50" s="442">
        <v>588</v>
      </c>
      <c r="C50" s="442">
        <v>647</v>
      </c>
      <c r="D50" s="442">
        <v>672</v>
      </c>
      <c r="E50" s="442">
        <v>577</v>
      </c>
      <c r="F50" s="442">
        <v>695</v>
      </c>
      <c r="G50" s="442">
        <v>702</v>
      </c>
      <c r="H50" s="442">
        <v>656</v>
      </c>
      <c r="I50" s="442">
        <v>713</v>
      </c>
      <c r="J50" s="442">
        <v>721</v>
      </c>
      <c r="K50" s="442">
        <v>674</v>
      </c>
      <c r="L50" s="442">
        <v>768</v>
      </c>
      <c r="M50" s="442">
        <v>585</v>
      </c>
      <c r="N50" s="442">
        <v>713</v>
      </c>
      <c r="O50" s="442">
        <v>690</v>
      </c>
      <c r="P50" s="442">
        <v>659</v>
      </c>
      <c r="Q50" s="442">
        <v>293</v>
      </c>
      <c r="R50" s="442">
        <v>312</v>
      </c>
      <c r="S50" s="442">
        <v>268</v>
      </c>
      <c r="T50" s="442">
        <v>275</v>
      </c>
      <c r="U50" s="442">
        <v>261</v>
      </c>
      <c r="V50" s="442">
        <v>275</v>
      </c>
      <c r="W50" s="442">
        <v>325</v>
      </c>
      <c r="X50" s="442">
        <v>338</v>
      </c>
      <c r="Y50" s="442">
        <v>288</v>
      </c>
      <c r="Z50" s="442">
        <v>260</v>
      </c>
      <c r="AA50" s="442">
        <v>286</v>
      </c>
      <c r="AB50" s="442">
        <v>329</v>
      </c>
      <c r="AC50" s="442">
        <v>278</v>
      </c>
      <c r="AD50" s="442">
        <v>287</v>
      </c>
      <c r="AE50" s="442">
        <v>271</v>
      </c>
      <c r="AF50" s="442">
        <v>292</v>
      </c>
      <c r="AG50" s="442">
        <v>285</v>
      </c>
      <c r="AH50" s="442">
        <v>300</v>
      </c>
      <c r="AI50" s="442">
        <v>288</v>
      </c>
      <c r="AJ50" s="442">
        <v>282</v>
      </c>
      <c r="AK50" s="442">
        <v>258</v>
      </c>
      <c r="AL50" s="442">
        <v>246</v>
      </c>
      <c r="AM50" s="442">
        <v>242</v>
      </c>
      <c r="AN50" s="442">
        <v>273</v>
      </c>
      <c r="AO50" s="442">
        <v>282</v>
      </c>
      <c r="AP50" s="442">
        <v>296</v>
      </c>
      <c r="AQ50" s="442">
        <v>314</v>
      </c>
      <c r="AR50" s="442">
        <v>332</v>
      </c>
      <c r="AS50" s="442">
        <v>313</v>
      </c>
      <c r="AT50" s="442">
        <v>345</v>
      </c>
      <c r="AU50" s="442">
        <v>331</v>
      </c>
      <c r="AV50" s="442">
        <v>361</v>
      </c>
      <c r="AW50" s="442">
        <v>328</v>
      </c>
      <c r="AX50" s="442">
        <v>301</v>
      </c>
      <c r="AY50" s="442">
        <v>343</v>
      </c>
      <c r="AZ50" s="442">
        <v>338</v>
      </c>
      <c r="BA50" s="442">
        <v>310</v>
      </c>
      <c r="BB50" s="442">
        <v>355</v>
      </c>
      <c r="BC50" s="442">
        <v>365</v>
      </c>
      <c r="BD50" s="442">
        <v>351</v>
      </c>
      <c r="BE50" s="442">
        <v>380</v>
      </c>
      <c r="BF50" s="442">
        <v>384</v>
      </c>
      <c r="BG50" s="442">
        <v>406</v>
      </c>
      <c r="BH50" s="442">
        <v>425</v>
      </c>
      <c r="BI50" s="442">
        <v>328</v>
      </c>
      <c r="BJ50" s="442">
        <v>348</v>
      </c>
      <c r="BK50" s="442">
        <v>434</v>
      </c>
      <c r="BL50" s="442">
        <v>430</v>
      </c>
      <c r="BM50" s="442">
        <v>358</v>
      </c>
      <c r="BN50" s="442">
        <v>449</v>
      </c>
      <c r="BO50" s="442">
        <v>463</v>
      </c>
      <c r="BP50" s="442">
        <v>480</v>
      </c>
      <c r="BQ50" s="442">
        <v>497</v>
      </c>
      <c r="BR50" s="442">
        <v>490</v>
      </c>
      <c r="BS50" s="442">
        <v>537</v>
      </c>
      <c r="BT50" s="442">
        <v>566</v>
      </c>
      <c r="BU50" s="442">
        <v>466</v>
      </c>
      <c r="BV50" s="442">
        <v>471</v>
      </c>
      <c r="BW50" s="442">
        <v>485</v>
      </c>
      <c r="BX50" s="442">
        <v>514</v>
      </c>
      <c r="BY50" s="442">
        <v>510</v>
      </c>
      <c r="BZ50" s="442">
        <v>610</v>
      </c>
      <c r="CA50" s="442">
        <v>597</v>
      </c>
      <c r="CB50" s="442">
        <v>601</v>
      </c>
      <c r="CC50" s="442">
        <v>588</v>
      </c>
      <c r="CD50" s="442">
        <v>592</v>
      </c>
      <c r="CE50" s="442">
        <v>634</v>
      </c>
      <c r="CF50" s="442">
        <v>657</v>
      </c>
      <c r="CG50" s="442">
        <v>530</v>
      </c>
      <c r="CH50" s="442">
        <v>552</v>
      </c>
      <c r="CI50" s="442">
        <v>575</v>
      </c>
      <c r="CJ50" s="442">
        <v>602</v>
      </c>
      <c r="CK50" s="442">
        <v>659</v>
      </c>
      <c r="CL50" s="442">
        <v>656</v>
      </c>
      <c r="CM50" s="442">
        <v>669</v>
      </c>
      <c r="CN50" s="442">
        <v>633</v>
      </c>
      <c r="CO50" s="442">
        <v>612</v>
      </c>
      <c r="CP50" s="442">
        <v>640</v>
      </c>
      <c r="CQ50" s="442">
        <v>679</v>
      </c>
      <c r="CR50" s="442">
        <v>638</v>
      </c>
      <c r="CS50" s="442">
        <v>588</v>
      </c>
      <c r="CT50" s="442">
        <v>607</v>
      </c>
      <c r="CU50" s="442">
        <v>600</v>
      </c>
      <c r="CV50" s="442">
        <v>636</v>
      </c>
      <c r="CW50" s="442">
        <v>602</v>
      </c>
      <c r="CX50" s="442">
        <v>650</v>
      </c>
      <c r="CY50" s="442">
        <v>609</v>
      </c>
      <c r="CZ50" s="442">
        <v>581</v>
      </c>
      <c r="DA50" s="442">
        <v>540</v>
      </c>
      <c r="DB50" s="442">
        <v>531</v>
      </c>
      <c r="DC50" s="442">
        <v>545</v>
      </c>
      <c r="DD50" s="442">
        <v>564</v>
      </c>
      <c r="DE50" s="442">
        <v>499</v>
      </c>
      <c r="DF50" s="442">
        <v>586</v>
      </c>
      <c r="DG50" s="442">
        <v>638</v>
      </c>
      <c r="DH50" s="442">
        <v>636</v>
      </c>
      <c r="DI50" s="442">
        <v>580</v>
      </c>
      <c r="DJ50" s="442">
        <v>649</v>
      </c>
      <c r="DK50" s="442">
        <v>669</v>
      </c>
      <c r="DL50" s="442">
        <v>684</v>
      </c>
      <c r="DM50" s="442">
        <v>710</v>
      </c>
      <c r="DN50" s="442">
        <v>655</v>
      </c>
      <c r="DO50" s="442">
        <v>638</v>
      </c>
      <c r="DP50" s="442">
        <v>675</v>
      </c>
      <c r="DQ50" s="442">
        <v>554</v>
      </c>
      <c r="DR50" s="442">
        <v>579</v>
      </c>
      <c r="DS50" s="442">
        <v>631</v>
      </c>
      <c r="DT50" s="442">
        <v>665</v>
      </c>
      <c r="DU50" s="442">
        <v>626</v>
      </c>
      <c r="DV50" s="442">
        <v>667</v>
      </c>
      <c r="DW50" s="442">
        <v>721</v>
      </c>
      <c r="DX50" s="442">
        <v>753</v>
      </c>
      <c r="DY50" s="442">
        <v>832</v>
      </c>
      <c r="DZ50" s="442">
        <v>839</v>
      </c>
      <c r="EA50" s="442">
        <v>875</v>
      </c>
      <c r="EB50" s="442">
        <v>918</v>
      </c>
      <c r="EC50" s="442">
        <v>781</v>
      </c>
      <c r="ED50" s="442">
        <v>804</v>
      </c>
      <c r="EE50" s="442">
        <v>878</v>
      </c>
      <c r="EF50" s="442">
        <v>931</v>
      </c>
      <c r="EG50" s="442">
        <v>898</v>
      </c>
      <c r="EH50" s="442">
        <v>950</v>
      </c>
      <c r="EI50" s="442">
        <v>878</v>
      </c>
      <c r="EJ50" s="442">
        <v>872</v>
      </c>
      <c r="EK50" s="442">
        <v>830</v>
      </c>
      <c r="EL50" s="442">
        <v>896</v>
      </c>
      <c r="EM50" s="442">
        <v>941</v>
      </c>
      <c r="EN50" s="442">
        <v>952</v>
      </c>
      <c r="EO50" s="442">
        <v>745</v>
      </c>
      <c r="EP50" s="442">
        <v>839</v>
      </c>
      <c r="EQ50" s="442">
        <v>845</v>
      </c>
      <c r="ER50" s="442">
        <v>952</v>
      </c>
      <c r="ES50" s="442">
        <v>946</v>
      </c>
      <c r="ET50" s="442">
        <v>952</v>
      </c>
      <c r="EU50" s="442">
        <v>865</v>
      </c>
      <c r="EV50" s="442">
        <v>923</v>
      </c>
      <c r="EW50" s="442">
        <v>920</v>
      </c>
      <c r="EX50" s="442">
        <v>927</v>
      </c>
      <c r="EY50" s="442">
        <v>949</v>
      </c>
      <c r="EZ50" s="442">
        <v>969</v>
      </c>
      <c r="FA50" s="442">
        <v>816</v>
      </c>
      <c r="FB50" s="442">
        <v>854</v>
      </c>
      <c r="FC50" s="442">
        <v>840</v>
      </c>
      <c r="FD50" s="442">
        <v>924</v>
      </c>
      <c r="FE50" s="442">
        <v>880</v>
      </c>
      <c r="FF50" s="442">
        <v>923</v>
      </c>
      <c r="FG50" s="442">
        <v>925</v>
      </c>
      <c r="FH50" s="442">
        <v>1055</v>
      </c>
      <c r="FI50" s="442">
        <v>993</v>
      </c>
      <c r="FJ50" s="442">
        <v>990</v>
      </c>
      <c r="FK50" s="442">
        <v>990</v>
      </c>
      <c r="FL50" s="442">
        <v>1020</v>
      </c>
      <c r="FM50" s="442">
        <v>820</v>
      </c>
      <c r="FN50" s="442">
        <v>762</v>
      </c>
      <c r="FO50" s="442">
        <v>777</v>
      </c>
      <c r="FP50" s="442">
        <v>820</v>
      </c>
      <c r="FQ50" s="442">
        <v>748</v>
      </c>
      <c r="FR50" s="442">
        <v>742</v>
      </c>
      <c r="FS50" s="442">
        <v>742</v>
      </c>
      <c r="FT50" s="442">
        <v>747</v>
      </c>
      <c r="FU50" s="442">
        <v>707</v>
      </c>
      <c r="FV50" s="442">
        <v>687</v>
      </c>
      <c r="FW50" s="442">
        <v>708</v>
      </c>
      <c r="FX50" s="442">
        <v>789</v>
      </c>
      <c r="FY50" s="442">
        <v>633</v>
      </c>
      <c r="FZ50" s="442">
        <v>605</v>
      </c>
      <c r="GA50" s="442">
        <v>696</v>
      </c>
      <c r="GB50" s="442">
        <v>732</v>
      </c>
      <c r="GC50" s="442">
        <v>714</v>
      </c>
      <c r="GD50" s="442">
        <v>752</v>
      </c>
      <c r="GE50" s="442">
        <v>703</v>
      </c>
      <c r="GF50" s="442">
        <v>725</v>
      </c>
      <c r="GG50" s="442">
        <v>745</v>
      </c>
      <c r="GH50" s="442">
        <v>720</v>
      </c>
      <c r="GI50" s="442">
        <v>787</v>
      </c>
      <c r="GJ50" s="442">
        <v>855</v>
      </c>
      <c r="GK50" s="431">
        <v>713</v>
      </c>
    </row>
    <row r="51" spans="1:648">
      <c r="A51" s="231" t="s">
        <v>242</v>
      </c>
      <c r="B51" s="348">
        <v>944</v>
      </c>
      <c r="C51" s="348">
        <v>872</v>
      </c>
      <c r="D51" s="348">
        <v>971</v>
      </c>
      <c r="E51" s="348">
        <v>944</v>
      </c>
      <c r="F51" s="348">
        <v>1043</v>
      </c>
      <c r="G51" s="348">
        <v>1098</v>
      </c>
      <c r="H51" s="348">
        <v>1017</v>
      </c>
      <c r="I51" s="348">
        <v>1066</v>
      </c>
      <c r="J51" s="348">
        <v>979</v>
      </c>
      <c r="K51" s="348">
        <v>1137</v>
      </c>
      <c r="L51" s="348">
        <v>1316</v>
      </c>
      <c r="M51" s="348">
        <v>1354</v>
      </c>
      <c r="N51" s="348">
        <v>1441</v>
      </c>
      <c r="O51" s="348">
        <v>1164</v>
      </c>
      <c r="P51" s="348">
        <v>1154</v>
      </c>
      <c r="Q51" s="348">
        <v>1052</v>
      </c>
      <c r="R51" s="348">
        <v>1240</v>
      </c>
      <c r="S51" s="348">
        <v>1165</v>
      </c>
      <c r="T51" s="348">
        <v>1348</v>
      </c>
      <c r="U51" s="348">
        <v>1294</v>
      </c>
      <c r="V51" s="348">
        <v>1100</v>
      </c>
      <c r="W51" s="348">
        <v>1292</v>
      </c>
      <c r="X51" s="348">
        <v>1290</v>
      </c>
      <c r="Y51" s="348">
        <v>1193</v>
      </c>
      <c r="Z51" s="348">
        <v>1121</v>
      </c>
      <c r="AA51" s="348">
        <v>1071</v>
      </c>
      <c r="AB51" s="348">
        <v>1176</v>
      </c>
      <c r="AC51" s="348">
        <v>1110</v>
      </c>
      <c r="AD51" s="348">
        <v>1368</v>
      </c>
      <c r="AE51" s="348">
        <v>1162</v>
      </c>
      <c r="AF51" s="348">
        <v>1161</v>
      </c>
      <c r="AG51" s="348">
        <v>1104</v>
      </c>
      <c r="AH51" s="348">
        <v>1130</v>
      </c>
      <c r="AI51" s="348">
        <v>1196</v>
      </c>
      <c r="AJ51" s="348">
        <v>1353</v>
      </c>
      <c r="AK51" s="348">
        <v>1250</v>
      </c>
      <c r="AL51" s="348">
        <v>1234</v>
      </c>
      <c r="AM51" s="348">
        <v>1183</v>
      </c>
      <c r="AN51" s="348">
        <v>1252</v>
      </c>
      <c r="AO51" s="348">
        <v>1486</v>
      </c>
      <c r="AP51" s="348">
        <v>1590</v>
      </c>
      <c r="AQ51" s="348">
        <v>1481</v>
      </c>
      <c r="AR51" s="348">
        <v>1563</v>
      </c>
      <c r="AS51" s="348">
        <v>1875</v>
      </c>
      <c r="AT51" s="348">
        <v>1670</v>
      </c>
      <c r="AU51" s="348">
        <v>1385</v>
      </c>
      <c r="AV51" s="348">
        <v>1501</v>
      </c>
      <c r="AW51" s="348">
        <v>1326</v>
      </c>
      <c r="AX51" s="348">
        <v>1718</v>
      </c>
      <c r="AY51" s="348">
        <v>1677</v>
      </c>
      <c r="AZ51" s="348">
        <v>1805</v>
      </c>
      <c r="BA51" s="348">
        <v>1849</v>
      </c>
      <c r="BB51" s="348">
        <v>1930</v>
      </c>
      <c r="BC51" s="348">
        <v>1916</v>
      </c>
      <c r="BD51" s="348">
        <v>1929</v>
      </c>
      <c r="BE51" s="348">
        <v>1738</v>
      </c>
      <c r="BF51" s="348">
        <v>1832</v>
      </c>
      <c r="BG51" s="348">
        <v>1799</v>
      </c>
      <c r="BH51" s="348">
        <v>1856</v>
      </c>
      <c r="BI51" s="348">
        <v>1706</v>
      </c>
      <c r="BJ51" s="348">
        <v>1642</v>
      </c>
      <c r="BK51" s="348">
        <v>1624</v>
      </c>
      <c r="BL51" s="348">
        <v>1847</v>
      </c>
      <c r="BM51" s="348">
        <v>1707</v>
      </c>
      <c r="BN51" s="348">
        <v>1816</v>
      </c>
      <c r="BO51" s="348">
        <v>1818</v>
      </c>
      <c r="BP51" s="348">
        <v>2077</v>
      </c>
      <c r="BQ51" s="348">
        <v>2053</v>
      </c>
      <c r="BR51" s="348">
        <v>2106</v>
      </c>
      <c r="BS51" s="348">
        <v>2338</v>
      </c>
      <c r="BT51" s="348">
        <v>2233</v>
      </c>
      <c r="BU51" s="348">
        <v>2031</v>
      </c>
      <c r="BV51" s="348">
        <v>2162</v>
      </c>
      <c r="BW51" s="348">
        <v>2076</v>
      </c>
      <c r="BX51" s="348">
        <v>2134</v>
      </c>
      <c r="BY51" s="348">
        <v>2171</v>
      </c>
      <c r="BZ51" s="348">
        <v>2220</v>
      </c>
      <c r="CA51" s="348">
        <v>2253</v>
      </c>
      <c r="CB51" s="348">
        <v>2400</v>
      </c>
      <c r="CC51" s="348">
        <v>2471</v>
      </c>
      <c r="CD51" s="348">
        <v>2402</v>
      </c>
      <c r="CE51" s="348">
        <v>2719</v>
      </c>
      <c r="CF51" s="441">
        <v>2575</v>
      </c>
      <c r="CG51" s="441">
        <v>2619</v>
      </c>
      <c r="CH51" s="441">
        <v>2565</v>
      </c>
      <c r="CI51" s="441">
        <v>2623</v>
      </c>
      <c r="CJ51" s="441">
        <v>2677</v>
      </c>
      <c r="CK51" s="441">
        <v>2550</v>
      </c>
      <c r="CL51" s="441">
        <v>2552</v>
      </c>
      <c r="CM51" s="441">
        <v>2961</v>
      </c>
      <c r="CN51" s="441">
        <v>2700</v>
      </c>
      <c r="CO51" s="441">
        <v>2810</v>
      </c>
      <c r="CP51" s="441">
        <v>2788</v>
      </c>
      <c r="CQ51" s="441">
        <v>3014</v>
      </c>
      <c r="CR51" s="441">
        <v>2797</v>
      </c>
      <c r="CS51" s="441">
        <v>2964</v>
      </c>
      <c r="CT51" s="441">
        <v>2177</v>
      </c>
      <c r="CU51" s="441">
        <v>1920</v>
      </c>
      <c r="CV51" s="441">
        <v>1751</v>
      </c>
      <c r="CW51" s="441">
        <v>1715</v>
      </c>
      <c r="CX51" s="441">
        <v>1767</v>
      </c>
      <c r="CY51" s="441">
        <v>1514</v>
      </c>
      <c r="CZ51" s="441">
        <v>1418</v>
      </c>
      <c r="DA51" s="441">
        <v>1314</v>
      </c>
      <c r="DB51" s="441">
        <v>1305</v>
      </c>
      <c r="DC51" s="441">
        <v>1320</v>
      </c>
      <c r="DD51" s="441">
        <v>1383</v>
      </c>
      <c r="DE51" s="441">
        <v>1222</v>
      </c>
      <c r="DF51" s="441">
        <v>1141</v>
      </c>
      <c r="DG51" s="441">
        <v>1150</v>
      </c>
      <c r="DH51" s="441">
        <v>1311</v>
      </c>
      <c r="DI51" s="441">
        <v>1305</v>
      </c>
      <c r="DJ51" s="441">
        <v>1372</v>
      </c>
      <c r="DK51" s="441">
        <v>1370</v>
      </c>
      <c r="DL51" s="441">
        <v>1483</v>
      </c>
      <c r="DM51" s="441">
        <v>1491</v>
      </c>
      <c r="DN51" s="441">
        <v>1593</v>
      </c>
      <c r="DO51" s="441">
        <v>1714</v>
      </c>
      <c r="DP51" s="441">
        <v>1773</v>
      </c>
      <c r="DQ51" s="441">
        <v>1890</v>
      </c>
      <c r="DR51" s="441">
        <v>1743</v>
      </c>
      <c r="DS51" s="441">
        <v>1679</v>
      </c>
      <c r="DT51" s="441">
        <v>1753</v>
      </c>
      <c r="DU51" s="441">
        <v>1731</v>
      </c>
      <c r="DV51" s="441">
        <v>2078</v>
      </c>
      <c r="DW51" s="441">
        <v>1914</v>
      </c>
      <c r="DX51" s="441">
        <v>1841</v>
      </c>
      <c r="DY51" s="441">
        <v>2033</v>
      </c>
      <c r="DZ51" s="441">
        <v>2192</v>
      </c>
      <c r="EA51" s="441">
        <v>2247</v>
      </c>
      <c r="EB51" s="441">
        <v>2135</v>
      </c>
      <c r="EC51" s="441">
        <v>2360</v>
      </c>
      <c r="ED51" s="441">
        <v>2365</v>
      </c>
      <c r="EE51" s="441">
        <v>2506</v>
      </c>
      <c r="EF51" s="441">
        <v>2560</v>
      </c>
      <c r="EG51" s="441">
        <v>2550</v>
      </c>
      <c r="EH51" s="441">
        <v>2790</v>
      </c>
      <c r="EI51" s="441">
        <v>2695</v>
      </c>
      <c r="EJ51" s="441">
        <v>2851</v>
      </c>
      <c r="EK51" s="441">
        <v>2903</v>
      </c>
      <c r="EL51" s="441">
        <v>2820</v>
      </c>
      <c r="EM51" s="441">
        <v>3060</v>
      </c>
      <c r="EN51" s="441">
        <v>3023</v>
      </c>
      <c r="EO51" s="441">
        <v>2767</v>
      </c>
      <c r="EP51" s="441">
        <v>2749</v>
      </c>
      <c r="EQ51" s="441">
        <v>2153</v>
      </c>
      <c r="ER51" s="441">
        <v>2278</v>
      </c>
      <c r="ES51" s="441">
        <v>2210</v>
      </c>
      <c r="ET51" s="441">
        <v>2232</v>
      </c>
      <c r="EU51" s="441">
        <v>2060</v>
      </c>
      <c r="EV51" s="441">
        <v>1843</v>
      </c>
      <c r="EW51" s="441">
        <v>1773</v>
      </c>
      <c r="EX51" s="441">
        <v>1484</v>
      </c>
      <c r="EY51" s="441">
        <v>1573</v>
      </c>
      <c r="EZ51" s="441">
        <v>1497</v>
      </c>
      <c r="FA51" s="441">
        <v>1408</v>
      </c>
      <c r="FB51" s="441">
        <v>1382</v>
      </c>
      <c r="FC51" s="441">
        <v>1377</v>
      </c>
      <c r="FD51" s="441">
        <v>1464</v>
      </c>
      <c r="FE51" s="441">
        <v>1459</v>
      </c>
      <c r="FF51" s="441">
        <v>1583</v>
      </c>
      <c r="FG51" s="441">
        <v>1481</v>
      </c>
      <c r="FH51" s="441">
        <v>1553</v>
      </c>
      <c r="FI51" s="441">
        <v>1392</v>
      </c>
      <c r="FJ51" s="441">
        <v>1265</v>
      </c>
      <c r="FK51" s="441">
        <v>1351</v>
      </c>
      <c r="FL51" s="441">
        <v>1429</v>
      </c>
      <c r="FM51" s="441">
        <v>1289</v>
      </c>
      <c r="FN51" s="441">
        <v>1239</v>
      </c>
      <c r="FO51" s="441">
        <v>1229</v>
      </c>
      <c r="FP51" s="441">
        <v>1272</v>
      </c>
      <c r="FQ51" s="441">
        <v>1172</v>
      </c>
      <c r="FR51" s="441">
        <v>1240</v>
      </c>
      <c r="FS51" s="441">
        <v>1163</v>
      </c>
      <c r="FT51" s="441">
        <v>939</v>
      </c>
      <c r="FU51" s="441">
        <v>956</v>
      </c>
      <c r="FV51" s="441">
        <v>900</v>
      </c>
      <c r="FW51" s="441">
        <v>939</v>
      </c>
      <c r="FX51" s="441">
        <v>900</v>
      </c>
      <c r="FY51" s="441">
        <v>809</v>
      </c>
      <c r="FZ51" s="441">
        <v>774</v>
      </c>
      <c r="GA51" s="441">
        <v>760</v>
      </c>
      <c r="GB51" s="441">
        <v>877</v>
      </c>
      <c r="GC51" s="441">
        <v>745</v>
      </c>
      <c r="GD51" s="441">
        <v>771</v>
      </c>
      <c r="GE51" s="441">
        <v>786</v>
      </c>
      <c r="GF51" s="441">
        <v>705</v>
      </c>
      <c r="GG51" s="441">
        <v>728</v>
      </c>
      <c r="GH51" s="441">
        <v>775</v>
      </c>
      <c r="GI51" s="441">
        <v>744</v>
      </c>
      <c r="GJ51" s="441">
        <v>768</v>
      </c>
      <c r="GK51" s="430">
        <v>778</v>
      </c>
    </row>
    <row r="52" spans="1:648">
      <c r="A52" s="231" t="s">
        <v>15</v>
      </c>
      <c r="B52" s="442">
        <v>13120</v>
      </c>
      <c r="C52" s="442">
        <v>13099</v>
      </c>
      <c r="D52" s="442">
        <v>14423</v>
      </c>
      <c r="E52" s="442">
        <v>14027</v>
      </c>
      <c r="F52" s="442">
        <v>14275</v>
      </c>
      <c r="G52" s="442">
        <v>13943</v>
      </c>
      <c r="H52" s="442">
        <v>14145</v>
      </c>
      <c r="I52" s="442">
        <v>14026</v>
      </c>
      <c r="J52" s="442">
        <v>13305</v>
      </c>
      <c r="K52" s="442">
        <v>13485</v>
      </c>
      <c r="L52" s="442">
        <v>13261</v>
      </c>
      <c r="M52" s="442">
        <v>12897</v>
      </c>
      <c r="N52" s="442">
        <v>13844</v>
      </c>
      <c r="O52" s="442">
        <v>12534</v>
      </c>
      <c r="P52" s="442">
        <v>13503</v>
      </c>
      <c r="Q52" s="442">
        <v>13281</v>
      </c>
      <c r="R52" s="442">
        <v>13130</v>
      </c>
      <c r="S52" s="442">
        <v>12722</v>
      </c>
      <c r="T52" s="442">
        <v>14954</v>
      </c>
      <c r="U52" s="442">
        <v>12990</v>
      </c>
      <c r="V52" s="442">
        <v>14107</v>
      </c>
      <c r="W52" s="442">
        <v>13646</v>
      </c>
      <c r="X52" s="442">
        <v>13176</v>
      </c>
      <c r="Y52" s="442">
        <v>13129</v>
      </c>
      <c r="Z52" s="442">
        <v>12945</v>
      </c>
      <c r="AA52" s="442">
        <v>12489</v>
      </c>
      <c r="AB52" s="442">
        <v>13844</v>
      </c>
      <c r="AC52" s="442">
        <v>12777</v>
      </c>
      <c r="AD52" s="442">
        <v>13085</v>
      </c>
      <c r="AE52" s="442">
        <v>13142</v>
      </c>
      <c r="AF52" s="442">
        <v>13637</v>
      </c>
      <c r="AG52" s="442">
        <v>13520</v>
      </c>
      <c r="AH52" s="442">
        <v>13442</v>
      </c>
      <c r="AI52" s="442">
        <v>13488</v>
      </c>
      <c r="AJ52" s="442">
        <v>13714</v>
      </c>
      <c r="AK52" s="442">
        <v>13688</v>
      </c>
      <c r="AL52" s="442">
        <v>13402</v>
      </c>
      <c r="AM52" s="442">
        <v>14195</v>
      </c>
      <c r="AN52" s="442">
        <v>14508</v>
      </c>
      <c r="AO52" s="442">
        <v>13498</v>
      </c>
      <c r="AP52" s="442">
        <v>14261</v>
      </c>
      <c r="AQ52" s="442">
        <v>14335</v>
      </c>
      <c r="AR52" s="442">
        <v>14157</v>
      </c>
      <c r="AS52" s="442">
        <v>13866</v>
      </c>
      <c r="AT52" s="442">
        <v>13680</v>
      </c>
      <c r="AU52" s="442">
        <v>13423</v>
      </c>
      <c r="AV52" s="442">
        <v>13733</v>
      </c>
      <c r="AW52" s="442">
        <v>12497</v>
      </c>
      <c r="AX52" s="442">
        <v>12290</v>
      </c>
      <c r="AY52" s="442">
        <v>11985</v>
      </c>
      <c r="AZ52" s="442">
        <v>12492</v>
      </c>
      <c r="BA52" s="442">
        <v>12177</v>
      </c>
      <c r="BB52" s="442">
        <v>12540</v>
      </c>
      <c r="BC52" s="442">
        <v>12504</v>
      </c>
      <c r="BD52" s="442">
        <v>12130</v>
      </c>
      <c r="BE52" s="442">
        <v>12541</v>
      </c>
      <c r="BF52" s="442">
        <v>12475</v>
      </c>
      <c r="BG52" s="442">
        <v>12476</v>
      </c>
      <c r="BH52" s="442">
        <v>12534</v>
      </c>
      <c r="BI52" s="442">
        <v>11944</v>
      </c>
      <c r="BJ52" s="442">
        <v>11566</v>
      </c>
      <c r="BK52" s="442">
        <v>11584</v>
      </c>
      <c r="BL52" s="442">
        <v>12301</v>
      </c>
      <c r="BM52" s="442">
        <v>12696</v>
      </c>
      <c r="BN52" s="442">
        <v>13176</v>
      </c>
      <c r="BO52" s="442">
        <v>13031</v>
      </c>
      <c r="BP52" s="442">
        <v>13088</v>
      </c>
      <c r="BQ52" s="442">
        <v>13147</v>
      </c>
      <c r="BR52" s="442">
        <v>12969</v>
      </c>
      <c r="BS52" s="442">
        <v>13093</v>
      </c>
      <c r="BT52" s="442">
        <v>13303</v>
      </c>
      <c r="BU52" s="442">
        <v>13182</v>
      </c>
      <c r="BV52" s="442">
        <v>13427</v>
      </c>
      <c r="BW52" s="442">
        <v>13229</v>
      </c>
      <c r="BX52" s="442">
        <v>14151</v>
      </c>
      <c r="BY52" s="442">
        <v>13516</v>
      </c>
      <c r="BZ52" s="442">
        <v>14268</v>
      </c>
      <c r="CA52" s="442">
        <v>14281</v>
      </c>
      <c r="CB52" s="442">
        <v>14627</v>
      </c>
      <c r="CC52" s="442">
        <v>14517</v>
      </c>
      <c r="CD52" s="442">
        <v>14264</v>
      </c>
      <c r="CE52" s="442">
        <v>14252</v>
      </c>
      <c r="CF52" s="442">
        <v>15479</v>
      </c>
      <c r="CG52" s="442">
        <v>14227</v>
      </c>
      <c r="CH52" s="442">
        <v>14067</v>
      </c>
      <c r="CI52" s="442">
        <v>14122</v>
      </c>
      <c r="CJ52" s="442">
        <v>15013</v>
      </c>
      <c r="CK52" s="442">
        <v>15470</v>
      </c>
      <c r="CL52" s="442">
        <v>16945</v>
      </c>
      <c r="CM52" s="442">
        <v>15714</v>
      </c>
      <c r="CN52" s="442">
        <v>15362</v>
      </c>
      <c r="CO52" s="442">
        <v>16106</v>
      </c>
      <c r="CP52" s="442">
        <v>15428</v>
      </c>
      <c r="CQ52" s="442">
        <v>16941</v>
      </c>
      <c r="CR52" s="442">
        <v>15985</v>
      </c>
      <c r="CS52" s="442">
        <v>15515</v>
      </c>
      <c r="CT52" s="442">
        <v>16354</v>
      </c>
      <c r="CU52" s="442">
        <v>16313</v>
      </c>
      <c r="CV52" s="442">
        <v>17798</v>
      </c>
      <c r="CW52" s="442">
        <v>17715</v>
      </c>
      <c r="CX52" s="442">
        <v>18906</v>
      </c>
      <c r="CY52" s="442">
        <v>17500</v>
      </c>
      <c r="CZ52" s="442">
        <v>16947</v>
      </c>
      <c r="DA52" s="442">
        <v>16447</v>
      </c>
      <c r="DB52" s="442">
        <v>16234</v>
      </c>
      <c r="DC52" s="442">
        <v>17222</v>
      </c>
      <c r="DD52" s="442">
        <v>14967</v>
      </c>
      <c r="DE52" s="442">
        <v>15033</v>
      </c>
      <c r="DF52" s="442">
        <v>14479</v>
      </c>
      <c r="DG52" s="442">
        <v>15688</v>
      </c>
      <c r="DH52" s="442">
        <v>17332</v>
      </c>
      <c r="DI52" s="442">
        <v>17630</v>
      </c>
      <c r="DJ52" s="442">
        <v>17503</v>
      </c>
      <c r="DK52" s="442">
        <v>17087</v>
      </c>
      <c r="DL52" s="442">
        <v>17177</v>
      </c>
      <c r="DM52" s="442">
        <v>17627</v>
      </c>
      <c r="DN52" s="442">
        <v>17048</v>
      </c>
      <c r="DO52" s="442">
        <v>16981</v>
      </c>
      <c r="DP52" s="442">
        <v>17470</v>
      </c>
      <c r="DQ52" s="442">
        <v>17052</v>
      </c>
      <c r="DR52" s="442">
        <v>17529</v>
      </c>
      <c r="DS52" s="442">
        <v>16874</v>
      </c>
      <c r="DT52" s="442">
        <v>18409</v>
      </c>
      <c r="DU52" s="442">
        <v>18234</v>
      </c>
      <c r="DV52" s="442">
        <v>19115</v>
      </c>
      <c r="DW52" s="442">
        <v>18491</v>
      </c>
      <c r="DX52" s="442">
        <v>19405</v>
      </c>
      <c r="DY52" s="442">
        <v>20032</v>
      </c>
      <c r="DZ52" s="442">
        <v>20477</v>
      </c>
      <c r="EA52" s="442">
        <v>20636</v>
      </c>
      <c r="EB52" s="442">
        <v>20929</v>
      </c>
      <c r="EC52" s="442">
        <v>20204</v>
      </c>
      <c r="ED52" s="442">
        <v>20365</v>
      </c>
      <c r="EE52" s="442">
        <v>20518</v>
      </c>
      <c r="EF52" s="442">
        <v>21773</v>
      </c>
      <c r="EG52" s="442">
        <v>21420</v>
      </c>
      <c r="EH52" s="442">
        <v>22497</v>
      </c>
      <c r="EI52" s="442">
        <v>21982</v>
      </c>
      <c r="EJ52" s="442">
        <v>22579</v>
      </c>
      <c r="EK52" s="442">
        <v>22597</v>
      </c>
      <c r="EL52" s="442">
        <v>22282</v>
      </c>
      <c r="EM52" s="442">
        <v>22592</v>
      </c>
      <c r="EN52" s="442">
        <v>21550</v>
      </c>
      <c r="EO52" s="442">
        <v>20415</v>
      </c>
      <c r="EP52" s="442">
        <v>21658</v>
      </c>
      <c r="EQ52" s="442">
        <v>20936</v>
      </c>
      <c r="ER52" s="442">
        <v>21722</v>
      </c>
      <c r="ES52" s="442">
        <v>21235</v>
      </c>
      <c r="ET52" s="442">
        <v>22004</v>
      </c>
      <c r="EU52" s="442">
        <v>20780</v>
      </c>
      <c r="EV52" s="442">
        <v>20197</v>
      </c>
      <c r="EW52" s="442">
        <v>19126</v>
      </c>
      <c r="EX52" s="442">
        <v>18641</v>
      </c>
      <c r="EY52" s="442">
        <v>18172</v>
      </c>
      <c r="EZ52" s="442">
        <v>19231</v>
      </c>
      <c r="FA52" s="442">
        <v>16532</v>
      </c>
      <c r="FB52" s="442">
        <v>16440</v>
      </c>
      <c r="FC52" s="442">
        <v>15942</v>
      </c>
      <c r="FD52" s="442">
        <v>16772</v>
      </c>
      <c r="FE52" s="442">
        <v>16654</v>
      </c>
      <c r="FF52" s="442">
        <v>16969</v>
      </c>
      <c r="FG52" s="442">
        <v>16310</v>
      </c>
      <c r="FH52" s="442">
        <v>16718</v>
      </c>
      <c r="FI52" s="442">
        <v>17120</v>
      </c>
      <c r="FJ52" s="442">
        <v>16657</v>
      </c>
      <c r="FK52" s="442">
        <v>17705</v>
      </c>
      <c r="FL52" s="442">
        <v>16994</v>
      </c>
      <c r="FM52" s="442">
        <v>16495</v>
      </c>
      <c r="FN52" s="442">
        <v>16410</v>
      </c>
      <c r="FO52" s="442">
        <v>16498</v>
      </c>
      <c r="FP52" s="442">
        <v>18023</v>
      </c>
      <c r="FQ52" s="442">
        <v>17638</v>
      </c>
      <c r="FR52" s="442">
        <v>17757</v>
      </c>
      <c r="FS52" s="442">
        <v>17697</v>
      </c>
      <c r="FT52" s="442">
        <v>18203</v>
      </c>
      <c r="FU52" s="442">
        <v>18540</v>
      </c>
      <c r="FV52" s="442">
        <v>17852</v>
      </c>
      <c r="FW52" s="442">
        <v>19089</v>
      </c>
      <c r="FX52" s="442">
        <v>19014</v>
      </c>
      <c r="FY52" s="442">
        <v>18554</v>
      </c>
      <c r="FZ52" s="442">
        <v>19016</v>
      </c>
      <c r="GA52" s="442">
        <v>19442</v>
      </c>
      <c r="GB52" s="442">
        <v>20198</v>
      </c>
      <c r="GC52" s="442">
        <v>20595</v>
      </c>
      <c r="GD52" s="442">
        <v>20967</v>
      </c>
      <c r="GE52" s="442">
        <v>20813</v>
      </c>
      <c r="GF52" s="442">
        <v>21354</v>
      </c>
      <c r="GG52" s="442">
        <v>21423</v>
      </c>
      <c r="GH52" s="442">
        <v>21102</v>
      </c>
      <c r="GI52" s="442">
        <v>22123</v>
      </c>
      <c r="GJ52" s="442">
        <v>21859</v>
      </c>
      <c r="GK52" s="431">
        <v>20618</v>
      </c>
    </row>
    <row r="53" spans="1:648">
      <c r="A53" s="231" t="s">
        <v>345</v>
      </c>
      <c r="B53" s="348">
        <v>2478</v>
      </c>
      <c r="C53" s="348">
        <v>2170</v>
      </c>
      <c r="D53" s="348">
        <v>2197</v>
      </c>
      <c r="E53" s="348">
        <v>2164</v>
      </c>
      <c r="F53" s="348">
        <v>2501</v>
      </c>
      <c r="G53" s="348">
        <v>2553</v>
      </c>
      <c r="H53" s="348">
        <v>2442</v>
      </c>
      <c r="I53" s="348">
        <v>2362</v>
      </c>
      <c r="J53" s="348">
        <v>2087</v>
      </c>
      <c r="K53" s="348">
        <v>2358</v>
      </c>
      <c r="L53" s="348">
        <v>2337</v>
      </c>
      <c r="M53" s="348">
        <v>2518</v>
      </c>
      <c r="N53" s="348">
        <v>2012</v>
      </c>
      <c r="O53" s="348">
        <v>2192</v>
      </c>
      <c r="P53" s="348">
        <v>2622</v>
      </c>
      <c r="Q53" s="348">
        <v>2945</v>
      </c>
      <c r="R53" s="348">
        <v>2302</v>
      </c>
      <c r="S53" s="348">
        <v>2046</v>
      </c>
      <c r="T53" s="348">
        <v>1956</v>
      </c>
      <c r="U53" s="348">
        <v>1952</v>
      </c>
      <c r="V53" s="348">
        <v>2247</v>
      </c>
      <c r="W53" s="348">
        <v>1961</v>
      </c>
      <c r="X53" s="348">
        <v>2005</v>
      </c>
      <c r="Y53" s="348">
        <v>2001</v>
      </c>
      <c r="Z53" s="348">
        <v>1902</v>
      </c>
      <c r="AA53" s="348">
        <v>2074</v>
      </c>
      <c r="AB53" s="348">
        <v>2327</v>
      </c>
      <c r="AC53" s="348">
        <v>2093</v>
      </c>
      <c r="AD53" s="348">
        <v>1992</v>
      </c>
      <c r="AE53" s="348">
        <v>1971</v>
      </c>
      <c r="AF53" s="348">
        <v>2209</v>
      </c>
      <c r="AG53" s="348">
        <v>2291</v>
      </c>
      <c r="AH53" s="348">
        <v>2061</v>
      </c>
      <c r="AI53" s="348">
        <v>2395</v>
      </c>
      <c r="AJ53" s="348">
        <v>2170</v>
      </c>
      <c r="AK53" s="348">
        <v>2136</v>
      </c>
      <c r="AL53" s="348">
        <v>2469</v>
      </c>
      <c r="AM53" s="348">
        <v>2625</v>
      </c>
      <c r="AN53" s="348">
        <v>2512</v>
      </c>
      <c r="AO53" s="348">
        <v>2268</v>
      </c>
      <c r="AP53" s="348">
        <v>2309</v>
      </c>
      <c r="AQ53" s="348">
        <v>1829</v>
      </c>
      <c r="AR53" s="348">
        <v>2578</v>
      </c>
      <c r="AS53" s="348">
        <v>2361</v>
      </c>
      <c r="AT53" s="348">
        <v>2100</v>
      </c>
      <c r="AU53" s="348">
        <v>2308</v>
      </c>
      <c r="AV53" s="348">
        <v>2125</v>
      </c>
      <c r="AW53" s="348">
        <v>2273</v>
      </c>
      <c r="AX53" s="348">
        <v>1872</v>
      </c>
      <c r="AY53" s="348">
        <v>2063</v>
      </c>
      <c r="AZ53" s="348">
        <v>2217</v>
      </c>
      <c r="BA53" s="348">
        <v>2228</v>
      </c>
      <c r="BB53" s="348">
        <v>2114</v>
      </c>
      <c r="BC53" s="348">
        <v>2290</v>
      </c>
      <c r="BD53" s="348">
        <v>2395</v>
      </c>
      <c r="BE53" s="348">
        <v>2553</v>
      </c>
      <c r="BF53" s="348">
        <v>2134</v>
      </c>
      <c r="BG53" s="348">
        <v>2261</v>
      </c>
      <c r="BH53" s="348">
        <v>2398</v>
      </c>
      <c r="BI53" s="348">
        <v>2336</v>
      </c>
      <c r="BJ53" s="348">
        <v>2439</v>
      </c>
      <c r="BK53" s="348">
        <v>2585</v>
      </c>
      <c r="BL53" s="348">
        <v>2603</v>
      </c>
      <c r="BM53" s="348">
        <v>2727</v>
      </c>
      <c r="BN53" s="348">
        <v>2710</v>
      </c>
      <c r="BO53" s="348">
        <v>2446</v>
      </c>
      <c r="BP53" s="348">
        <v>2469</v>
      </c>
      <c r="BQ53" s="348">
        <v>2511</v>
      </c>
      <c r="BR53" s="348">
        <v>2350</v>
      </c>
      <c r="BS53" s="348">
        <v>2295</v>
      </c>
      <c r="BT53" s="348">
        <v>2360</v>
      </c>
      <c r="BU53" s="348">
        <v>2271</v>
      </c>
      <c r="BV53" s="348">
        <v>2556</v>
      </c>
      <c r="BW53" s="348">
        <v>2418</v>
      </c>
      <c r="BX53" s="348">
        <v>2530</v>
      </c>
      <c r="BY53" s="348">
        <v>2438</v>
      </c>
      <c r="BZ53" s="348">
        <v>2359</v>
      </c>
      <c r="CA53" s="348">
        <v>2777</v>
      </c>
      <c r="CB53" s="348">
        <v>2527</v>
      </c>
      <c r="CC53" s="348">
        <v>2149</v>
      </c>
      <c r="CD53" s="348">
        <v>2211</v>
      </c>
      <c r="CE53" s="348">
        <v>2274</v>
      </c>
      <c r="CF53" s="441">
        <v>2517</v>
      </c>
      <c r="CG53" s="441">
        <v>2310</v>
      </c>
      <c r="CH53" s="441">
        <v>2402</v>
      </c>
      <c r="CI53" s="441">
        <v>2755</v>
      </c>
      <c r="CJ53" s="441">
        <v>2354</v>
      </c>
      <c r="CK53" s="441">
        <v>2345</v>
      </c>
      <c r="CL53" s="441">
        <v>2257</v>
      </c>
      <c r="CM53" s="441">
        <v>2266</v>
      </c>
      <c r="CN53" s="441">
        <v>2242</v>
      </c>
      <c r="CO53" s="441">
        <v>2055</v>
      </c>
      <c r="CP53" s="441">
        <v>2108</v>
      </c>
      <c r="CQ53" s="441">
        <v>2294</v>
      </c>
      <c r="CR53" s="441">
        <v>2277</v>
      </c>
      <c r="CS53" s="441">
        <v>2345</v>
      </c>
      <c r="CT53" s="441">
        <v>2095</v>
      </c>
      <c r="CU53" s="441">
        <v>2144</v>
      </c>
      <c r="CV53" s="441">
        <v>2267</v>
      </c>
      <c r="CW53" s="441">
        <v>2350</v>
      </c>
      <c r="CX53" s="441">
        <v>2084</v>
      </c>
      <c r="CY53" s="441">
        <v>1943</v>
      </c>
      <c r="CZ53" s="441">
        <v>1851</v>
      </c>
      <c r="DA53" s="441">
        <v>1627</v>
      </c>
      <c r="DB53" s="441">
        <v>1651</v>
      </c>
      <c r="DC53" s="441">
        <v>1676</v>
      </c>
      <c r="DD53" s="441">
        <v>1575</v>
      </c>
      <c r="DE53" s="441">
        <v>1635</v>
      </c>
      <c r="DF53" s="441">
        <v>1512</v>
      </c>
      <c r="DG53" s="441">
        <v>1559</v>
      </c>
      <c r="DH53" s="441">
        <v>1663</v>
      </c>
      <c r="DI53" s="441">
        <v>1537</v>
      </c>
      <c r="DJ53" s="441">
        <v>1544</v>
      </c>
      <c r="DK53" s="441">
        <v>1449</v>
      </c>
      <c r="DL53" s="441">
        <v>1268</v>
      </c>
      <c r="DM53" s="441">
        <v>1255</v>
      </c>
      <c r="DN53" s="441">
        <v>1230</v>
      </c>
      <c r="DO53" s="441">
        <v>1280</v>
      </c>
      <c r="DP53" s="441">
        <v>1804</v>
      </c>
      <c r="DQ53" s="441">
        <v>1269</v>
      </c>
      <c r="DR53" s="441">
        <v>1235</v>
      </c>
      <c r="DS53" s="441">
        <v>1417</v>
      </c>
      <c r="DT53" s="441">
        <v>1485</v>
      </c>
      <c r="DU53" s="441">
        <v>1414</v>
      </c>
      <c r="DV53" s="441">
        <v>1675</v>
      </c>
      <c r="DW53" s="441">
        <v>1498</v>
      </c>
      <c r="DX53" s="441">
        <v>1537</v>
      </c>
      <c r="DY53" s="441">
        <v>1640</v>
      </c>
      <c r="DZ53" s="441">
        <v>1783</v>
      </c>
      <c r="EA53" s="441">
        <v>1797</v>
      </c>
      <c r="EB53" s="441">
        <v>1857</v>
      </c>
      <c r="EC53" s="441">
        <v>1728</v>
      </c>
      <c r="ED53" s="441">
        <v>1752</v>
      </c>
      <c r="EE53" s="441">
        <v>2388</v>
      </c>
      <c r="EF53" s="441">
        <v>2244</v>
      </c>
      <c r="EG53" s="441">
        <v>1789</v>
      </c>
      <c r="EH53" s="441">
        <v>2253</v>
      </c>
      <c r="EI53" s="441">
        <v>1791</v>
      </c>
      <c r="EJ53" s="441">
        <v>1794</v>
      </c>
      <c r="EK53" s="441">
        <v>1852</v>
      </c>
      <c r="EL53" s="441">
        <v>1623</v>
      </c>
      <c r="EM53" s="441">
        <v>1780</v>
      </c>
      <c r="EN53" s="441">
        <v>1719</v>
      </c>
      <c r="EO53" s="441">
        <v>1564</v>
      </c>
      <c r="EP53" s="441">
        <v>1662</v>
      </c>
      <c r="EQ53" s="441">
        <v>1731</v>
      </c>
      <c r="ER53" s="441">
        <v>1622</v>
      </c>
      <c r="ES53" s="441">
        <v>1682</v>
      </c>
      <c r="ET53" s="441">
        <v>1501</v>
      </c>
      <c r="EU53" s="441">
        <v>1300</v>
      </c>
      <c r="EV53" s="441">
        <v>1368</v>
      </c>
      <c r="EW53" s="441">
        <v>1280</v>
      </c>
      <c r="EX53" s="441">
        <v>1285</v>
      </c>
      <c r="EY53" s="441">
        <v>1324</v>
      </c>
      <c r="EZ53" s="441">
        <v>1484</v>
      </c>
      <c r="FA53" s="441">
        <v>1354</v>
      </c>
      <c r="FB53" s="441">
        <v>1361</v>
      </c>
      <c r="FC53" s="441">
        <v>1485</v>
      </c>
      <c r="FD53" s="441">
        <v>2031</v>
      </c>
      <c r="FE53" s="441">
        <v>1398</v>
      </c>
      <c r="FF53" s="441">
        <v>1355</v>
      </c>
      <c r="FG53" s="441">
        <v>1154</v>
      </c>
      <c r="FH53" s="441">
        <v>1219</v>
      </c>
      <c r="FI53" s="441">
        <v>1237</v>
      </c>
      <c r="FJ53" s="441">
        <v>1219</v>
      </c>
      <c r="FK53" s="441">
        <v>1281</v>
      </c>
      <c r="FL53" s="441">
        <v>1308</v>
      </c>
      <c r="FM53" s="441">
        <v>1212</v>
      </c>
      <c r="FN53" s="441">
        <v>1372</v>
      </c>
      <c r="FO53" s="441">
        <v>1371</v>
      </c>
      <c r="FP53" s="441">
        <v>1557</v>
      </c>
      <c r="FQ53" s="441">
        <v>1440</v>
      </c>
      <c r="FR53" s="441">
        <v>1553</v>
      </c>
      <c r="FS53" s="441">
        <v>1473</v>
      </c>
      <c r="FT53" s="441">
        <v>1533</v>
      </c>
      <c r="FU53" s="441">
        <v>1525</v>
      </c>
      <c r="FV53" s="441">
        <v>1539</v>
      </c>
      <c r="FW53" s="441">
        <v>1544</v>
      </c>
      <c r="FX53" s="441">
        <v>1478</v>
      </c>
      <c r="FY53" s="441">
        <v>1229</v>
      </c>
      <c r="FZ53" s="441">
        <v>1230</v>
      </c>
      <c r="GA53" s="441">
        <v>1475</v>
      </c>
      <c r="GB53" s="441">
        <v>1478</v>
      </c>
      <c r="GC53" s="441">
        <v>1329</v>
      </c>
      <c r="GD53" s="441">
        <v>1342</v>
      </c>
      <c r="GE53" s="441">
        <v>1341</v>
      </c>
      <c r="GF53" s="441">
        <v>1312</v>
      </c>
      <c r="GG53" s="441">
        <v>1273</v>
      </c>
      <c r="GH53" s="441">
        <v>1274</v>
      </c>
      <c r="GI53" s="441">
        <v>1304</v>
      </c>
      <c r="GJ53" s="441">
        <v>1361</v>
      </c>
      <c r="GK53" s="430">
        <v>1213</v>
      </c>
    </row>
    <row r="54" spans="1:648">
      <c r="A54" s="231" t="s">
        <v>239</v>
      </c>
      <c r="B54" s="442">
        <v>7990</v>
      </c>
      <c r="C54" s="442">
        <v>8067</v>
      </c>
      <c r="D54" s="442">
        <v>9260</v>
      </c>
      <c r="E54" s="442">
        <v>8393</v>
      </c>
      <c r="F54" s="442">
        <v>9141</v>
      </c>
      <c r="G54" s="442">
        <v>8619</v>
      </c>
      <c r="H54" s="442">
        <v>8892</v>
      </c>
      <c r="I54" s="442">
        <v>9633</v>
      </c>
      <c r="J54" s="442">
        <v>8500</v>
      </c>
      <c r="K54" s="442">
        <v>8996</v>
      </c>
      <c r="L54" s="442">
        <v>9424</v>
      </c>
      <c r="M54" s="442">
        <v>8202</v>
      </c>
      <c r="N54" s="442">
        <v>8196</v>
      </c>
      <c r="O54" s="442">
        <v>7314</v>
      </c>
      <c r="P54" s="442">
        <v>8457</v>
      </c>
      <c r="Q54" s="442">
        <v>7637</v>
      </c>
      <c r="R54" s="442">
        <v>8259</v>
      </c>
      <c r="S54" s="442">
        <v>7895</v>
      </c>
      <c r="T54" s="442">
        <v>8217</v>
      </c>
      <c r="U54" s="442">
        <v>8465</v>
      </c>
      <c r="V54" s="442">
        <v>8812</v>
      </c>
      <c r="W54" s="442">
        <v>9343</v>
      </c>
      <c r="X54" s="442">
        <v>9260</v>
      </c>
      <c r="Y54" s="442">
        <v>9496</v>
      </c>
      <c r="Z54" s="442">
        <v>9598</v>
      </c>
      <c r="AA54" s="442">
        <v>9550</v>
      </c>
      <c r="AB54" s="442">
        <v>10549</v>
      </c>
      <c r="AC54" s="442">
        <v>9732</v>
      </c>
      <c r="AD54" s="442">
        <v>10930</v>
      </c>
      <c r="AE54" s="442">
        <v>10184</v>
      </c>
      <c r="AF54" s="442">
        <v>10604</v>
      </c>
      <c r="AG54" s="442">
        <v>10674</v>
      </c>
      <c r="AH54" s="442">
        <v>10868</v>
      </c>
      <c r="AI54" s="442">
        <v>11369</v>
      </c>
      <c r="AJ54" s="442">
        <v>11066</v>
      </c>
      <c r="AK54" s="442">
        <v>11019</v>
      </c>
      <c r="AL54" s="442">
        <v>11492</v>
      </c>
      <c r="AM54" s="442">
        <v>11403</v>
      </c>
      <c r="AN54" s="442">
        <v>12438</v>
      </c>
      <c r="AO54" s="442">
        <v>12040</v>
      </c>
      <c r="AP54" s="442">
        <v>12903</v>
      </c>
      <c r="AQ54" s="442">
        <v>13410</v>
      </c>
      <c r="AR54" s="442">
        <v>12603</v>
      </c>
      <c r="AS54" s="442">
        <v>12445</v>
      </c>
      <c r="AT54" s="442">
        <v>13379</v>
      </c>
      <c r="AU54" s="442">
        <v>13436</v>
      </c>
      <c r="AV54" s="442">
        <v>12914</v>
      </c>
      <c r="AW54" s="442">
        <v>11626</v>
      </c>
      <c r="AX54" s="442">
        <v>11214</v>
      </c>
      <c r="AY54" s="442">
        <v>11299</v>
      </c>
      <c r="AZ54" s="442">
        <v>12631</v>
      </c>
      <c r="BA54" s="442">
        <v>12065</v>
      </c>
      <c r="BB54" s="442">
        <v>13032</v>
      </c>
      <c r="BC54" s="442">
        <v>12771</v>
      </c>
      <c r="BD54" s="442">
        <v>13811</v>
      </c>
      <c r="BE54" s="442">
        <v>13034</v>
      </c>
      <c r="BF54" s="442">
        <v>13972</v>
      </c>
      <c r="BG54" s="442">
        <v>14485</v>
      </c>
      <c r="BH54" s="442">
        <v>14719</v>
      </c>
      <c r="BI54" s="442">
        <v>13676</v>
      </c>
      <c r="BJ54" s="442">
        <v>13111</v>
      </c>
      <c r="BK54" s="442">
        <v>14754</v>
      </c>
      <c r="BL54" s="442">
        <v>16118</v>
      </c>
      <c r="BM54" s="442">
        <v>15493</v>
      </c>
      <c r="BN54" s="442">
        <v>17597</v>
      </c>
      <c r="BO54" s="442">
        <v>17553</v>
      </c>
      <c r="BP54" s="442">
        <v>17826</v>
      </c>
      <c r="BQ54" s="442">
        <v>18318</v>
      </c>
      <c r="BR54" s="442">
        <v>18845</v>
      </c>
      <c r="BS54" s="442">
        <v>18920</v>
      </c>
      <c r="BT54" s="442">
        <v>18599</v>
      </c>
      <c r="BU54" s="442">
        <v>16861</v>
      </c>
      <c r="BV54" s="442">
        <v>16254</v>
      </c>
      <c r="BW54" s="442">
        <v>18278</v>
      </c>
      <c r="BX54" s="442">
        <v>18026</v>
      </c>
      <c r="BY54" s="442">
        <v>17917</v>
      </c>
      <c r="BZ54" s="442">
        <v>19976</v>
      </c>
      <c r="CA54" s="442">
        <v>18962</v>
      </c>
      <c r="CB54" s="442">
        <v>19762</v>
      </c>
      <c r="CC54" s="442">
        <v>20546</v>
      </c>
      <c r="CD54" s="442">
        <v>18672</v>
      </c>
      <c r="CE54" s="442">
        <v>18738</v>
      </c>
      <c r="CF54" s="442">
        <v>19170</v>
      </c>
      <c r="CG54" s="442">
        <v>16945</v>
      </c>
      <c r="CH54" s="442">
        <v>18631</v>
      </c>
      <c r="CI54" s="442">
        <v>19306</v>
      </c>
      <c r="CJ54" s="442">
        <v>19986</v>
      </c>
      <c r="CK54" s="442">
        <v>20441</v>
      </c>
      <c r="CL54" s="442">
        <v>21671</v>
      </c>
      <c r="CM54" s="442">
        <v>22476</v>
      </c>
      <c r="CN54" s="442">
        <v>24319</v>
      </c>
      <c r="CO54" s="442">
        <v>25915</v>
      </c>
      <c r="CP54" s="442">
        <v>26571</v>
      </c>
      <c r="CQ54" s="442">
        <v>27225</v>
      </c>
      <c r="CR54" s="442">
        <v>26325</v>
      </c>
      <c r="CS54" s="442">
        <v>22808</v>
      </c>
      <c r="CT54" s="442">
        <v>23460</v>
      </c>
      <c r="CU54" s="442">
        <v>24250</v>
      </c>
      <c r="CV54" s="442">
        <v>26877</v>
      </c>
      <c r="CW54" s="442">
        <v>26221</v>
      </c>
      <c r="CX54" s="442">
        <v>26365</v>
      </c>
      <c r="CY54" s="442">
        <v>26226</v>
      </c>
      <c r="CZ54" s="442">
        <v>27481</v>
      </c>
      <c r="DA54" s="442">
        <v>26348</v>
      </c>
      <c r="DB54" s="442">
        <v>25738</v>
      </c>
      <c r="DC54" s="442">
        <v>26280</v>
      </c>
      <c r="DD54" s="442">
        <v>26706</v>
      </c>
      <c r="DE54" s="442">
        <v>25167</v>
      </c>
      <c r="DF54" s="442">
        <v>24187</v>
      </c>
      <c r="DG54" s="442">
        <v>24606</v>
      </c>
      <c r="DH54" s="442">
        <v>26401</v>
      </c>
      <c r="DI54" s="442">
        <v>25198</v>
      </c>
      <c r="DJ54" s="442">
        <v>26359</v>
      </c>
      <c r="DK54" s="442">
        <v>27511</v>
      </c>
      <c r="DL54" s="442">
        <v>29405</v>
      </c>
      <c r="DM54" s="442">
        <v>29892</v>
      </c>
      <c r="DN54" s="442">
        <v>28964</v>
      </c>
      <c r="DO54" s="442">
        <v>30275</v>
      </c>
      <c r="DP54" s="442">
        <v>30854</v>
      </c>
      <c r="DQ54" s="442">
        <v>27922</v>
      </c>
      <c r="DR54" s="442">
        <v>28642</v>
      </c>
      <c r="DS54" s="442">
        <v>27616</v>
      </c>
      <c r="DT54" s="442">
        <v>30481</v>
      </c>
      <c r="DU54" s="442">
        <v>30532</v>
      </c>
      <c r="DV54" s="442">
        <v>34785</v>
      </c>
      <c r="DW54" s="442">
        <v>34128</v>
      </c>
      <c r="DX54" s="442">
        <v>34969</v>
      </c>
      <c r="DY54" s="442">
        <v>36906</v>
      </c>
      <c r="DZ54" s="442">
        <v>36809</v>
      </c>
      <c r="EA54" s="442">
        <v>37582</v>
      </c>
      <c r="EB54" s="442">
        <v>38568</v>
      </c>
      <c r="EC54" s="442">
        <v>35972</v>
      </c>
      <c r="ED54" s="442">
        <v>37952</v>
      </c>
      <c r="EE54" s="442">
        <v>40702</v>
      </c>
      <c r="EF54" s="442">
        <v>44736</v>
      </c>
      <c r="EG54" s="442">
        <v>44108</v>
      </c>
      <c r="EH54" s="442">
        <v>48711</v>
      </c>
      <c r="EI54" s="442">
        <v>47599</v>
      </c>
      <c r="EJ54" s="442">
        <v>50182</v>
      </c>
      <c r="EK54" s="442">
        <v>52709</v>
      </c>
      <c r="EL54" s="442">
        <v>49996</v>
      </c>
      <c r="EM54" s="442">
        <v>51086</v>
      </c>
      <c r="EN54" s="442">
        <v>49377</v>
      </c>
      <c r="EO54" s="442">
        <v>47461</v>
      </c>
      <c r="EP54" s="442">
        <v>50703</v>
      </c>
      <c r="EQ54" s="442">
        <v>53327</v>
      </c>
      <c r="ER54" s="442">
        <v>54457</v>
      </c>
      <c r="ES54" s="442">
        <v>56769</v>
      </c>
      <c r="ET54" s="442">
        <v>55800</v>
      </c>
      <c r="EU54" s="442">
        <v>55393</v>
      </c>
      <c r="EV54" s="442">
        <v>59563</v>
      </c>
      <c r="EW54" s="442">
        <v>62851</v>
      </c>
      <c r="EX54" s="442">
        <v>57640</v>
      </c>
      <c r="EY54" s="442">
        <v>58911</v>
      </c>
      <c r="EZ54" s="442">
        <v>56827</v>
      </c>
      <c r="FA54" s="442">
        <v>50543</v>
      </c>
      <c r="FB54" s="442">
        <v>51565</v>
      </c>
      <c r="FC54" s="442">
        <v>51145</v>
      </c>
      <c r="FD54" s="442">
        <v>57117</v>
      </c>
      <c r="FE54" s="442">
        <v>55213</v>
      </c>
      <c r="FF54" s="442">
        <v>58315</v>
      </c>
      <c r="FG54" s="442">
        <v>55522</v>
      </c>
      <c r="FH54" s="442">
        <v>56463</v>
      </c>
      <c r="FI54" s="442">
        <v>55939</v>
      </c>
      <c r="FJ54" s="442">
        <v>55530</v>
      </c>
      <c r="FK54" s="442">
        <v>58357</v>
      </c>
      <c r="FL54" s="442">
        <v>56124</v>
      </c>
      <c r="FM54" s="442">
        <v>51735</v>
      </c>
      <c r="FN54" s="442">
        <v>50436</v>
      </c>
      <c r="FO54" s="442">
        <v>49102</v>
      </c>
      <c r="FP54" s="442">
        <v>52764</v>
      </c>
      <c r="FQ54" s="442">
        <v>49207</v>
      </c>
      <c r="FR54" s="442">
        <v>49174</v>
      </c>
      <c r="FS54" s="442">
        <v>48679</v>
      </c>
      <c r="FT54" s="442">
        <v>49403</v>
      </c>
      <c r="FU54" s="442">
        <v>49049</v>
      </c>
      <c r="FV54" s="442">
        <v>48826</v>
      </c>
      <c r="FW54" s="442">
        <v>47831</v>
      </c>
      <c r="FX54" s="442">
        <v>46369</v>
      </c>
      <c r="FY54" s="442">
        <v>44818</v>
      </c>
      <c r="FZ54" s="442">
        <v>43238</v>
      </c>
      <c r="GA54" s="442">
        <v>43227</v>
      </c>
      <c r="GB54" s="442">
        <v>43136</v>
      </c>
      <c r="GC54" s="442">
        <v>41991</v>
      </c>
      <c r="GD54" s="442">
        <v>44590</v>
      </c>
      <c r="GE54" s="442">
        <v>41795</v>
      </c>
      <c r="GF54" s="442">
        <v>44091</v>
      </c>
      <c r="GG54" s="442">
        <v>43983</v>
      </c>
      <c r="GH54" s="442">
        <v>40573</v>
      </c>
      <c r="GI54" s="442">
        <v>41517</v>
      </c>
      <c r="GJ54" s="442">
        <v>43398</v>
      </c>
      <c r="GK54" s="431">
        <v>39508</v>
      </c>
    </row>
    <row r="55" spans="1:648">
      <c r="A55" s="231" t="s">
        <v>241</v>
      </c>
      <c r="B55" s="348">
        <v>5238</v>
      </c>
      <c r="C55" s="348">
        <v>5187</v>
      </c>
      <c r="D55" s="348">
        <v>7808</v>
      </c>
      <c r="E55" s="348">
        <v>5408</v>
      </c>
      <c r="F55" s="348">
        <v>5860</v>
      </c>
      <c r="G55" s="348">
        <v>5467</v>
      </c>
      <c r="H55" s="348">
        <v>5855</v>
      </c>
      <c r="I55" s="348">
        <v>5921</v>
      </c>
      <c r="J55" s="348">
        <v>5825</v>
      </c>
      <c r="K55" s="348">
        <v>6040</v>
      </c>
      <c r="L55" s="348">
        <v>5919</v>
      </c>
      <c r="M55" s="348">
        <v>5261</v>
      </c>
      <c r="N55" s="348">
        <v>5244</v>
      </c>
      <c r="O55" s="348">
        <v>5265</v>
      </c>
      <c r="P55" s="348">
        <v>5453</v>
      </c>
      <c r="Q55" s="348">
        <v>5875</v>
      </c>
      <c r="R55" s="348">
        <v>5796</v>
      </c>
      <c r="S55" s="348">
        <v>5115</v>
      </c>
      <c r="T55" s="348">
        <v>5838</v>
      </c>
      <c r="U55" s="348">
        <v>5867</v>
      </c>
      <c r="V55" s="348">
        <v>5536</v>
      </c>
      <c r="W55" s="348">
        <v>5487</v>
      </c>
      <c r="X55" s="348">
        <v>5818</v>
      </c>
      <c r="Y55" s="348">
        <v>5502</v>
      </c>
      <c r="Z55" s="348">
        <v>5408</v>
      </c>
      <c r="AA55" s="348">
        <v>5475</v>
      </c>
      <c r="AB55" s="348">
        <v>5957</v>
      </c>
      <c r="AC55" s="348">
        <v>6128</v>
      </c>
      <c r="AD55" s="348">
        <v>6858</v>
      </c>
      <c r="AE55" s="348">
        <v>6111</v>
      </c>
      <c r="AF55" s="348">
        <v>6682</v>
      </c>
      <c r="AG55" s="348">
        <v>5943</v>
      </c>
      <c r="AH55" s="348">
        <v>5863</v>
      </c>
      <c r="AI55" s="348">
        <v>5723</v>
      </c>
      <c r="AJ55" s="348">
        <v>5629</v>
      </c>
      <c r="AK55" s="348">
        <v>5496</v>
      </c>
      <c r="AL55" s="348">
        <v>5459</v>
      </c>
      <c r="AM55" s="348">
        <v>5765</v>
      </c>
      <c r="AN55" s="348">
        <v>7047</v>
      </c>
      <c r="AO55" s="348">
        <v>6487</v>
      </c>
      <c r="AP55" s="348">
        <v>6830</v>
      </c>
      <c r="AQ55" s="348">
        <v>7281</v>
      </c>
      <c r="AR55" s="348">
        <v>6985</v>
      </c>
      <c r="AS55" s="348">
        <v>7159</v>
      </c>
      <c r="AT55" s="348">
        <v>7117</v>
      </c>
      <c r="AU55" s="348">
        <v>7561</v>
      </c>
      <c r="AV55" s="348">
        <v>7592</v>
      </c>
      <c r="AW55" s="348">
        <v>7376</v>
      </c>
      <c r="AX55" s="348">
        <v>7608</v>
      </c>
      <c r="AY55" s="348">
        <v>7579</v>
      </c>
      <c r="AZ55" s="348">
        <v>8290</v>
      </c>
      <c r="BA55" s="348">
        <v>8509</v>
      </c>
      <c r="BB55" s="348">
        <v>8713</v>
      </c>
      <c r="BC55" s="348">
        <v>8546</v>
      </c>
      <c r="BD55" s="348">
        <v>9519</v>
      </c>
      <c r="BE55" s="348">
        <v>8891</v>
      </c>
      <c r="BF55" s="348">
        <v>8473</v>
      </c>
      <c r="BG55" s="348">
        <v>8765</v>
      </c>
      <c r="BH55" s="348">
        <v>9035</v>
      </c>
      <c r="BI55" s="348">
        <v>8187</v>
      </c>
      <c r="BJ55" s="348">
        <v>8567</v>
      </c>
      <c r="BK55" s="348">
        <v>8857</v>
      </c>
      <c r="BL55" s="348">
        <v>10226</v>
      </c>
      <c r="BM55" s="348">
        <v>9554</v>
      </c>
      <c r="BN55" s="348">
        <v>10640</v>
      </c>
      <c r="BO55" s="348">
        <v>11139</v>
      </c>
      <c r="BP55" s="348">
        <v>10734</v>
      </c>
      <c r="BQ55" s="348">
        <v>11704</v>
      </c>
      <c r="BR55" s="348">
        <v>11763</v>
      </c>
      <c r="BS55" s="348">
        <v>11577</v>
      </c>
      <c r="BT55" s="348">
        <v>11946</v>
      </c>
      <c r="BU55" s="348">
        <v>11675</v>
      </c>
      <c r="BV55" s="348">
        <v>11051</v>
      </c>
      <c r="BW55" s="348">
        <v>11865</v>
      </c>
      <c r="BX55" s="348">
        <v>14045</v>
      </c>
      <c r="BY55" s="348">
        <v>12450</v>
      </c>
      <c r="BZ55" s="348">
        <v>13310</v>
      </c>
      <c r="CA55" s="348">
        <v>13416</v>
      </c>
      <c r="CB55" s="348">
        <v>12982</v>
      </c>
      <c r="CC55" s="348">
        <v>14711</v>
      </c>
      <c r="CD55" s="348">
        <v>14377</v>
      </c>
      <c r="CE55" s="348">
        <v>12646</v>
      </c>
      <c r="CF55" s="441">
        <v>12727</v>
      </c>
      <c r="CG55" s="441">
        <v>11192</v>
      </c>
      <c r="CH55" s="441">
        <v>11501</v>
      </c>
      <c r="CI55" s="441">
        <v>11693</v>
      </c>
      <c r="CJ55" s="441">
        <v>12110</v>
      </c>
      <c r="CK55" s="441">
        <v>12310</v>
      </c>
      <c r="CL55" s="441">
        <v>12877</v>
      </c>
      <c r="CM55" s="441">
        <v>12896</v>
      </c>
      <c r="CN55" s="441">
        <v>14372</v>
      </c>
      <c r="CO55" s="441">
        <v>15126</v>
      </c>
      <c r="CP55" s="441">
        <v>13144</v>
      </c>
      <c r="CQ55" s="441">
        <v>12803</v>
      </c>
      <c r="CR55" s="441">
        <v>11446</v>
      </c>
      <c r="CS55" s="441">
        <v>10380</v>
      </c>
      <c r="CT55" s="441">
        <v>9185</v>
      </c>
      <c r="CU55" s="441">
        <v>8073</v>
      </c>
      <c r="CV55" s="441">
        <v>8107</v>
      </c>
      <c r="CW55" s="441">
        <v>7304</v>
      </c>
      <c r="CX55" s="441">
        <v>7227</v>
      </c>
      <c r="CY55" s="441">
        <v>7246</v>
      </c>
      <c r="CZ55" s="441">
        <v>7066</v>
      </c>
      <c r="DA55" s="441">
        <v>7788</v>
      </c>
      <c r="DB55" s="441">
        <v>6676</v>
      </c>
      <c r="DC55" s="441">
        <v>6994</v>
      </c>
      <c r="DD55" s="441">
        <v>6736</v>
      </c>
      <c r="DE55" s="441">
        <v>6561</v>
      </c>
      <c r="DF55" s="441">
        <v>6660</v>
      </c>
      <c r="DG55" s="441">
        <v>6949</v>
      </c>
      <c r="DH55" s="441">
        <v>7487</v>
      </c>
      <c r="DI55" s="441">
        <v>7107</v>
      </c>
      <c r="DJ55" s="441">
        <v>7562</v>
      </c>
      <c r="DK55" s="441">
        <v>8022</v>
      </c>
      <c r="DL55" s="441">
        <v>7938</v>
      </c>
      <c r="DM55" s="441">
        <v>8270</v>
      </c>
      <c r="DN55" s="441">
        <v>8335</v>
      </c>
      <c r="DO55" s="441">
        <v>9265</v>
      </c>
      <c r="DP55" s="441">
        <v>9056</v>
      </c>
      <c r="DQ55" s="441">
        <v>8572</v>
      </c>
      <c r="DR55" s="441">
        <v>8439</v>
      </c>
      <c r="DS55" s="441">
        <v>8804</v>
      </c>
      <c r="DT55" s="441">
        <v>9483</v>
      </c>
      <c r="DU55" s="441">
        <v>9175</v>
      </c>
      <c r="DV55" s="441">
        <v>10080</v>
      </c>
      <c r="DW55" s="441">
        <v>9848</v>
      </c>
      <c r="DX55" s="441">
        <v>9547</v>
      </c>
      <c r="DY55" s="441">
        <v>10036</v>
      </c>
      <c r="DZ55" s="441">
        <v>9124</v>
      </c>
      <c r="EA55" s="441">
        <v>9473</v>
      </c>
      <c r="EB55" s="441">
        <v>9417</v>
      </c>
      <c r="EC55" s="441">
        <v>8204</v>
      </c>
      <c r="ED55" s="441">
        <v>8380</v>
      </c>
      <c r="EE55" s="441">
        <v>8655</v>
      </c>
      <c r="EF55" s="441">
        <v>8535</v>
      </c>
      <c r="EG55" s="441">
        <v>7921</v>
      </c>
      <c r="EH55" s="441">
        <v>8324</v>
      </c>
      <c r="EI55" s="441">
        <v>8213</v>
      </c>
      <c r="EJ55" s="441">
        <v>8309</v>
      </c>
      <c r="EK55" s="441">
        <v>8368</v>
      </c>
      <c r="EL55" s="441">
        <v>7843</v>
      </c>
      <c r="EM55" s="441">
        <v>9072</v>
      </c>
      <c r="EN55" s="441">
        <v>8221</v>
      </c>
      <c r="EO55" s="441">
        <v>6913</v>
      </c>
      <c r="EP55" s="441">
        <v>7059</v>
      </c>
      <c r="EQ55" s="441">
        <v>6998</v>
      </c>
      <c r="ER55" s="441">
        <v>7253</v>
      </c>
      <c r="ES55" s="441">
        <v>7256</v>
      </c>
      <c r="ET55" s="441">
        <v>7071</v>
      </c>
      <c r="EU55" s="441">
        <v>6963</v>
      </c>
      <c r="EV55" s="441">
        <v>6870</v>
      </c>
      <c r="EW55" s="441">
        <v>6732</v>
      </c>
      <c r="EX55" s="441">
        <v>6485</v>
      </c>
      <c r="EY55" s="441">
        <v>7013</v>
      </c>
      <c r="EZ55" s="441">
        <v>6511</v>
      </c>
      <c r="FA55" s="441">
        <v>5789</v>
      </c>
      <c r="FB55" s="441">
        <v>5847</v>
      </c>
      <c r="FC55" s="441">
        <v>5651</v>
      </c>
      <c r="FD55" s="441">
        <v>6097</v>
      </c>
      <c r="FE55" s="441">
        <v>5463</v>
      </c>
      <c r="FF55" s="441">
        <v>6362</v>
      </c>
      <c r="FG55" s="441">
        <v>5708</v>
      </c>
      <c r="FH55" s="441">
        <v>6073</v>
      </c>
      <c r="FI55" s="441">
        <v>5874</v>
      </c>
      <c r="FJ55" s="441">
        <v>5575</v>
      </c>
      <c r="FK55" s="441">
        <v>6060</v>
      </c>
      <c r="FL55" s="441">
        <v>5866</v>
      </c>
      <c r="FM55" s="441">
        <v>5308</v>
      </c>
      <c r="FN55" s="441">
        <v>5476</v>
      </c>
      <c r="FO55" s="441">
        <v>5592</v>
      </c>
      <c r="FP55" s="441">
        <v>6102</v>
      </c>
      <c r="FQ55" s="441">
        <v>5727</v>
      </c>
      <c r="FR55" s="441">
        <v>6201</v>
      </c>
      <c r="FS55" s="441">
        <v>6213</v>
      </c>
      <c r="FT55" s="441">
        <v>6157</v>
      </c>
      <c r="FU55" s="441">
        <v>5906</v>
      </c>
      <c r="FV55" s="441">
        <v>5854</v>
      </c>
      <c r="FW55" s="441">
        <v>7150</v>
      </c>
      <c r="FX55" s="441">
        <v>5586</v>
      </c>
      <c r="FY55" s="441">
        <v>5149</v>
      </c>
      <c r="FZ55" s="441">
        <v>5142</v>
      </c>
      <c r="GA55" s="441">
        <v>5158</v>
      </c>
      <c r="GB55" s="441">
        <v>5454</v>
      </c>
      <c r="GC55" s="441">
        <v>5060</v>
      </c>
      <c r="GD55" s="441">
        <v>5629</v>
      </c>
      <c r="GE55" s="441">
        <v>5296</v>
      </c>
      <c r="GF55" s="441">
        <v>5540</v>
      </c>
      <c r="GG55" s="441">
        <v>5533</v>
      </c>
      <c r="GH55" s="441">
        <v>5429</v>
      </c>
      <c r="GI55" s="441">
        <v>5747</v>
      </c>
      <c r="GJ55" s="441">
        <v>5821</v>
      </c>
      <c r="GK55" s="430">
        <v>5365</v>
      </c>
    </row>
    <row r="56" spans="1:648">
      <c r="A56" s="231" t="s">
        <v>244</v>
      </c>
      <c r="B56" s="442">
        <v>554</v>
      </c>
      <c r="C56" s="442">
        <v>569</v>
      </c>
      <c r="D56" s="442">
        <v>636</v>
      </c>
      <c r="E56" s="442">
        <v>595</v>
      </c>
      <c r="F56" s="442">
        <v>659</v>
      </c>
      <c r="G56" s="442">
        <v>615</v>
      </c>
      <c r="H56" s="442">
        <v>587</v>
      </c>
      <c r="I56" s="442">
        <v>583</v>
      </c>
      <c r="J56" s="442">
        <v>575</v>
      </c>
      <c r="K56" s="442">
        <v>684</v>
      </c>
      <c r="L56" s="442">
        <v>667</v>
      </c>
      <c r="M56" s="442">
        <v>585</v>
      </c>
      <c r="N56" s="442">
        <v>567</v>
      </c>
      <c r="O56" s="442">
        <v>578</v>
      </c>
      <c r="P56" s="442">
        <v>585</v>
      </c>
      <c r="Q56" s="442">
        <v>528</v>
      </c>
      <c r="R56" s="442">
        <v>596</v>
      </c>
      <c r="S56" s="442">
        <v>544</v>
      </c>
      <c r="T56" s="442">
        <v>533</v>
      </c>
      <c r="U56" s="442">
        <v>584</v>
      </c>
      <c r="V56" s="442">
        <v>566</v>
      </c>
      <c r="W56" s="442">
        <v>617</v>
      </c>
      <c r="X56" s="442">
        <v>564</v>
      </c>
      <c r="Y56" s="442">
        <v>510</v>
      </c>
      <c r="Z56" s="442">
        <v>544</v>
      </c>
      <c r="AA56" s="442">
        <v>545</v>
      </c>
      <c r="AB56" s="442">
        <v>576</v>
      </c>
      <c r="AC56" s="442">
        <v>543</v>
      </c>
      <c r="AD56" s="442">
        <v>596</v>
      </c>
      <c r="AE56" s="442">
        <v>532</v>
      </c>
      <c r="AF56" s="442">
        <v>572</v>
      </c>
      <c r="AG56" s="442">
        <v>590</v>
      </c>
      <c r="AH56" s="442">
        <v>542</v>
      </c>
      <c r="AI56" s="442">
        <v>591</v>
      </c>
      <c r="AJ56" s="442">
        <v>595</v>
      </c>
      <c r="AK56" s="442">
        <v>550</v>
      </c>
      <c r="AL56" s="442">
        <v>588</v>
      </c>
      <c r="AM56" s="442">
        <v>563</v>
      </c>
      <c r="AN56" s="442">
        <v>562</v>
      </c>
      <c r="AO56" s="442">
        <v>519</v>
      </c>
      <c r="AP56" s="442">
        <v>548</v>
      </c>
      <c r="AQ56" s="442">
        <v>571</v>
      </c>
      <c r="AR56" s="442">
        <v>584</v>
      </c>
      <c r="AS56" s="442">
        <v>570</v>
      </c>
      <c r="AT56" s="442">
        <v>588</v>
      </c>
      <c r="AU56" s="442">
        <v>548</v>
      </c>
      <c r="AV56" s="442">
        <v>587</v>
      </c>
      <c r="AW56" s="442">
        <v>619</v>
      </c>
      <c r="AX56" s="442">
        <v>559</v>
      </c>
      <c r="AY56" s="442">
        <v>719</v>
      </c>
      <c r="AZ56" s="442">
        <v>734</v>
      </c>
      <c r="BA56" s="442">
        <v>613</v>
      </c>
      <c r="BB56" s="442">
        <v>668</v>
      </c>
      <c r="BC56" s="442">
        <v>687</v>
      </c>
      <c r="BD56" s="442">
        <v>674</v>
      </c>
      <c r="BE56" s="442">
        <v>679</v>
      </c>
      <c r="BF56" s="442">
        <v>733</v>
      </c>
      <c r="BG56" s="442">
        <v>683</v>
      </c>
      <c r="BH56" s="442">
        <v>676</v>
      </c>
      <c r="BI56" s="442">
        <v>642</v>
      </c>
      <c r="BJ56" s="442">
        <v>621</v>
      </c>
      <c r="BK56" s="442">
        <v>615</v>
      </c>
      <c r="BL56" s="442">
        <v>700</v>
      </c>
      <c r="BM56" s="442">
        <v>571</v>
      </c>
      <c r="BN56" s="442">
        <v>666</v>
      </c>
      <c r="BO56" s="442">
        <v>683</v>
      </c>
      <c r="BP56" s="442">
        <v>669</v>
      </c>
      <c r="BQ56" s="442">
        <v>693</v>
      </c>
      <c r="BR56" s="442">
        <v>734</v>
      </c>
      <c r="BS56" s="442">
        <v>738</v>
      </c>
      <c r="BT56" s="442">
        <v>744</v>
      </c>
      <c r="BU56" s="442">
        <v>611</v>
      </c>
      <c r="BV56" s="442">
        <v>668</v>
      </c>
      <c r="BW56" s="442">
        <v>699</v>
      </c>
      <c r="BX56" s="442">
        <v>748</v>
      </c>
      <c r="BY56" s="442">
        <v>635</v>
      </c>
      <c r="BZ56" s="442">
        <v>733</v>
      </c>
      <c r="CA56" s="442">
        <v>683</v>
      </c>
      <c r="CB56" s="442">
        <v>680</v>
      </c>
      <c r="CC56" s="442">
        <v>714</v>
      </c>
      <c r="CD56" s="442">
        <v>661</v>
      </c>
      <c r="CE56" s="442">
        <v>772</v>
      </c>
      <c r="CF56" s="442">
        <v>764</v>
      </c>
      <c r="CG56" s="442">
        <v>672</v>
      </c>
      <c r="CH56" s="442">
        <v>670</v>
      </c>
      <c r="CI56" s="442">
        <v>631</v>
      </c>
      <c r="CJ56" s="442">
        <v>610</v>
      </c>
      <c r="CK56" s="442">
        <v>742</v>
      </c>
      <c r="CL56" s="442">
        <v>694</v>
      </c>
      <c r="CM56" s="442">
        <v>719</v>
      </c>
      <c r="CN56" s="442">
        <v>832</v>
      </c>
      <c r="CO56" s="442">
        <v>801</v>
      </c>
      <c r="CP56" s="442">
        <v>801</v>
      </c>
      <c r="CQ56" s="442">
        <v>765</v>
      </c>
      <c r="CR56" s="442">
        <v>679</v>
      </c>
      <c r="CS56" s="442">
        <v>681</v>
      </c>
      <c r="CT56" s="442">
        <v>629</v>
      </c>
      <c r="CU56" s="442">
        <v>645</v>
      </c>
      <c r="CV56" s="442">
        <v>698</v>
      </c>
      <c r="CW56" s="442">
        <v>690</v>
      </c>
      <c r="CX56" s="442">
        <v>826</v>
      </c>
      <c r="CY56" s="442">
        <v>792</v>
      </c>
      <c r="CZ56" s="442">
        <v>882</v>
      </c>
      <c r="DA56" s="442">
        <v>867</v>
      </c>
      <c r="DB56" s="442">
        <v>870</v>
      </c>
      <c r="DC56" s="442">
        <v>874</v>
      </c>
      <c r="DD56" s="442">
        <v>777</v>
      </c>
      <c r="DE56" s="442">
        <v>779</v>
      </c>
      <c r="DF56" s="442">
        <v>698</v>
      </c>
      <c r="DG56" s="442">
        <v>704</v>
      </c>
      <c r="DH56" s="442">
        <v>778</v>
      </c>
      <c r="DI56" s="442">
        <v>759</v>
      </c>
      <c r="DJ56" s="442">
        <v>816</v>
      </c>
      <c r="DK56" s="442">
        <v>820</v>
      </c>
      <c r="DL56" s="442">
        <v>858</v>
      </c>
      <c r="DM56" s="442">
        <v>956</v>
      </c>
      <c r="DN56" s="442">
        <v>847</v>
      </c>
      <c r="DO56" s="442">
        <v>789</v>
      </c>
      <c r="DP56" s="442">
        <v>747</v>
      </c>
      <c r="DQ56" s="442">
        <v>659</v>
      </c>
      <c r="DR56" s="442">
        <v>642</v>
      </c>
      <c r="DS56" s="442">
        <v>638</v>
      </c>
      <c r="DT56" s="442">
        <v>750</v>
      </c>
      <c r="DU56" s="442">
        <v>713</v>
      </c>
      <c r="DV56" s="442">
        <v>815</v>
      </c>
      <c r="DW56" s="442">
        <v>812</v>
      </c>
      <c r="DX56" s="442">
        <v>926</v>
      </c>
      <c r="DY56" s="442">
        <v>1134</v>
      </c>
      <c r="DZ56" s="442">
        <v>920</v>
      </c>
      <c r="EA56" s="442">
        <v>880</v>
      </c>
      <c r="EB56" s="442">
        <v>842</v>
      </c>
      <c r="EC56" s="442">
        <v>706</v>
      </c>
      <c r="ED56" s="442">
        <v>802</v>
      </c>
      <c r="EE56" s="442">
        <v>842</v>
      </c>
      <c r="EF56" s="442">
        <v>868</v>
      </c>
      <c r="EG56" s="442">
        <v>797</v>
      </c>
      <c r="EH56" s="442">
        <v>822</v>
      </c>
      <c r="EI56" s="442">
        <v>816</v>
      </c>
      <c r="EJ56" s="442">
        <v>837</v>
      </c>
      <c r="EK56" s="442">
        <v>838</v>
      </c>
      <c r="EL56" s="442">
        <v>886</v>
      </c>
      <c r="EM56" s="442">
        <v>892</v>
      </c>
      <c r="EN56" s="442">
        <v>1059</v>
      </c>
      <c r="EO56" s="442">
        <v>934</v>
      </c>
      <c r="EP56" s="442">
        <v>918</v>
      </c>
      <c r="EQ56" s="442">
        <v>895</v>
      </c>
      <c r="ER56" s="442">
        <v>908</v>
      </c>
      <c r="ES56" s="442">
        <v>875</v>
      </c>
      <c r="ET56" s="442">
        <v>914</v>
      </c>
      <c r="EU56" s="442">
        <v>914</v>
      </c>
      <c r="EV56" s="442">
        <v>987</v>
      </c>
      <c r="EW56" s="442">
        <v>1173</v>
      </c>
      <c r="EX56" s="442">
        <v>1030</v>
      </c>
      <c r="EY56" s="442">
        <v>1079</v>
      </c>
      <c r="EZ56" s="442">
        <v>1060</v>
      </c>
      <c r="FA56" s="442">
        <v>867</v>
      </c>
      <c r="FB56" s="442">
        <v>789</v>
      </c>
      <c r="FC56" s="442">
        <v>786</v>
      </c>
      <c r="FD56" s="442">
        <v>853</v>
      </c>
      <c r="FE56" s="442">
        <v>805</v>
      </c>
      <c r="FF56" s="442">
        <v>839</v>
      </c>
      <c r="FG56" s="442">
        <v>800</v>
      </c>
      <c r="FH56" s="442">
        <v>758</v>
      </c>
      <c r="FI56" s="442">
        <v>736</v>
      </c>
      <c r="FJ56" s="442">
        <v>678</v>
      </c>
      <c r="FK56" s="442">
        <v>745</v>
      </c>
      <c r="FL56" s="442">
        <v>709</v>
      </c>
      <c r="FM56" s="442">
        <v>650</v>
      </c>
      <c r="FN56" s="442">
        <v>596</v>
      </c>
      <c r="FO56" s="442">
        <v>574</v>
      </c>
      <c r="FP56" s="442">
        <v>605</v>
      </c>
      <c r="FQ56" s="442">
        <v>591</v>
      </c>
      <c r="FR56" s="442">
        <v>594</v>
      </c>
      <c r="FS56" s="442">
        <v>624</v>
      </c>
      <c r="FT56" s="442">
        <v>608</v>
      </c>
      <c r="FU56" s="442">
        <v>661</v>
      </c>
      <c r="FV56" s="442">
        <v>637</v>
      </c>
      <c r="FW56" s="442">
        <v>597</v>
      </c>
      <c r="FX56" s="442">
        <v>614</v>
      </c>
      <c r="FY56" s="442">
        <v>563</v>
      </c>
      <c r="FZ56" s="442">
        <v>499</v>
      </c>
      <c r="GA56" s="442">
        <v>562</v>
      </c>
      <c r="GB56" s="442">
        <v>566</v>
      </c>
      <c r="GC56" s="442">
        <v>500</v>
      </c>
      <c r="GD56" s="442">
        <v>519</v>
      </c>
      <c r="GE56" s="442">
        <v>508</v>
      </c>
      <c r="GF56" s="442">
        <v>516</v>
      </c>
      <c r="GG56" s="442">
        <v>566</v>
      </c>
      <c r="GH56" s="442">
        <v>533</v>
      </c>
      <c r="GI56" s="442">
        <v>592</v>
      </c>
      <c r="GJ56" s="442">
        <v>534</v>
      </c>
      <c r="GK56" s="431">
        <v>434</v>
      </c>
    </row>
    <row r="57" spans="1:648">
      <c r="A57" s="231" t="s">
        <v>246</v>
      </c>
      <c r="B57" s="348">
        <v>415</v>
      </c>
      <c r="C57" s="348">
        <v>438</v>
      </c>
      <c r="D57" s="348">
        <v>605</v>
      </c>
      <c r="E57" s="348">
        <v>508</v>
      </c>
      <c r="F57" s="348">
        <v>572</v>
      </c>
      <c r="G57" s="348">
        <v>721</v>
      </c>
      <c r="H57" s="348">
        <v>611</v>
      </c>
      <c r="I57" s="348">
        <v>767</v>
      </c>
      <c r="J57" s="348">
        <v>1117</v>
      </c>
      <c r="K57" s="348">
        <v>1047</v>
      </c>
      <c r="L57" s="348">
        <v>1092</v>
      </c>
      <c r="M57" s="348">
        <v>907</v>
      </c>
      <c r="N57" s="348">
        <v>1006</v>
      </c>
      <c r="O57" s="348">
        <v>837</v>
      </c>
      <c r="P57" s="348">
        <v>821</v>
      </c>
      <c r="Q57" s="348">
        <v>699</v>
      </c>
      <c r="R57" s="348">
        <v>1114</v>
      </c>
      <c r="S57" s="348">
        <v>805</v>
      </c>
      <c r="T57" s="348">
        <v>647</v>
      </c>
      <c r="U57" s="348">
        <v>628</v>
      </c>
      <c r="V57" s="348">
        <v>711</v>
      </c>
      <c r="W57" s="348">
        <v>625</v>
      </c>
      <c r="X57" s="348">
        <v>554</v>
      </c>
      <c r="Y57" s="348">
        <v>489</v>
      </c>
      <c r="Z57" s="348">
        <v>487</v>
      </c>
      <c r="AA57" s="348">
        <v>519</v>
      </c>
      <c r="AB57" s="348">
        <v>631</v>
      </c>
      <c r="AC57" s="348">
        <v>522</v>
      </c>
      <c r="AD57" s="348">
        <v>577</v>
      </c>
      <c r="AE57" s="348">
        <v>678</v>
      </c>
      <c r="AF57" s="348">
        <v>615</v>
      </c>
      <c r="AG57" s="348">
        <v>615</v>
      </c>
      <c r="AH57" s="348">
        <v>713</v>
      </c>
      <c r="AI57" s="348">
        <v>631</v>
      </c>
      <c r="AJ57" s="348">
        <v>589</v>
      </c>
      <c r="AK57" s="348">
        <v>666</v>
      </c>
      <c r="AL57" s="348">
        <v>549</v>
      </c>
      <c r="AM57" s="348">
        <v>613</v>
      </c>
      <c r="AN57" s="348">
        <v>753</v>
      </c>
      <c r="AO57" s="348">
        <v>602</v>
      </c>
      <c r="AP57" s="348">
        <v>659</v>
      </c>
      <c r="AQ57" s="348">
        <v>724</v>
      </c>
      <c r="AR57" s="348">
        <v>640</v>
      </c>
      <c r="AS57" s="348">
        <v>627</v>
      </c>
      <c r="AT57" s="348">
        <v>624</v>
      </c>
      <c r="AU57" s="348">
        <v>584</v>
      </c>
      <c r="AV57" s="348">
        <v>615</v>
      </c>
      <c r="AW57" s="348">
        <v>732</v>
      </c>
      <c r="AX57" s="348">
        <v>618</v>
      </c>
      <c r="AY57" s="348">
        <v>698</v>
      </c>
      <c r="AZ57" s="348">
        <v>877</v>
      </c>
      <c r="BA57" s="348">
        <v>708</v>
      </c>
      <c r="BB57" s="348">
        <v>860</v>
      </c>
      <c r="BC57" s="348">
        <v>867</v>
      </c>
      <c r="BD57" s="348">
        <v>708</v>
      </c>
      <c r="BE57" s="348">
        <v>716</v>
      </c>
      <c r="BF57" s="348">
        <v>773</v>
      </c>
      <c r="BG57" s="348">
        <v>760</v>
      </c>
      <c r="BH57" s="348">
        <v>772</v>
      </c>
      <c r="BI57" s="348">
        <v>770</v>
      </c>
      <c r="BJ57" s="348">
        <v>633</v>
      </c>
      <c r="BK57" s="348">
        <v>676</v>
      </c>
      <c r="BL57" s="348">
        <v>753</v>
      </c>
      <c r="BM57" s="348">
        <v>599</v>
      </c>
      <c r="BN57" s="348">
        <v>585</v>
      </c>
      <c r="BO57" s="348">
        <v>711</v>
      </c>
      <c r="BP57" s="348">
        <v>536</v>
      </c>
      <c r="BQ57" s="348">
        <v>504</v>
      </c>
      <c r="BR57" s="348">
        <v>551</v>
      </c>
      <c r="BS57" s="348">
        <v>445</v>
      </c>
      <c r="BT57" s="348">
        <v>445</v>
      </c>
      <c r="BU57" s="348">
        <v>492</v>
      </c>
      <c r="BV57" s="348">
        <v>436</v>
      </c>
      <c r="BW57" s="348">
        <v>449</v>
      </c>
      <c r="BX57" s="348">
        <v>337</v>
      </c>
      <c r="BY57" s="348">
        <v>352</v>
      </c>
      <c r="BZ57" s="348">
        <v>436</v>
      </c>
      <c r="CA57" s="348">
        <v>577</v>
      </c>
      <c r="CB57" s="348">
        <v>517</v>
      </c>
      <c r="CC57" s="348">
        <v>364</v>
      </c>
      <c r="CD57" s="348">
        <v>609</v>
      </c>
      <c r="CE57" s="348">
        <v>501</v>
      </c>
      <c r="CF57" s="441">
        <v>667</v>
      </c>
      <c r="CG57" s="441">
        <v>612</v>
      </c>
      <c r="CH57" s="441">
        <v>501</v>
      </c>
      <c r="CI57" s="441">
        <v>567</v>
      </c>
      <c r="CJ57" s="441">
        <v>654</v>
      </c>
      <c r="CK57" s="441">
        <v>516</v>
      </c>
      <c r="CL57" s="441">
        <v>546</v>
      </c>
      <c r="CM57" s="441">
        <v>660</v>
      </c>
      <c r="CN57" s="441">
        <v>521</v>
      </c>
      <c r="CO57" s="441">
        <v>532</v>
      </c>
      <c r="CP57" s="441">
        <v>634</v>
      </c>
      <c r="CQ57" s="441">
        <v>538</v>
      </c>
      <c r="CR57" s="441">
        <v>553</v>
      </c>
      <c r="CS57" s="441">
        <v>507</v>
      </c>
      <c r="CT57" s="441">
        <v>263</v>
      </c>
      <c r="CU57" s="441">
        <v>264</v>
      </c>
      <c r="CV57" s="441">
        <v>340</v>
      </c>
      <c r="CW57" s="441">
        <v>284</v>
      </c>
      <c r="CX57" s="441">
        <v>276</v>
      </c>
      <c r="CY57" s="441">
        <v>304</v>
      </c>
      <c r="CZ57" s="441">
        <v>239</v>
      </c>
      <c r="DA57" s="441">
        <v>230</v>
      </c>
      <c r="DB57" s="441">
        <v>286</v>
      </c>
      <c r="DC57" s="441">
        <v>235</v>
      </c>
      <c r="DD57" s="441">
        <v>271</v>
      </c>
      <c r="DE57" s="441">
        <v>323</v>
      </c>
      <c r="DF57" s="441">
        <v>319</v>
      </c>
      <c r="DG57" s="441">
        <v>373</v>
      </c>
      <c r="DH57" s="441">
        <v>468</v>
      </c>
      <c r="DI57" s="441">
        <v>464</v>
      </c>
      <c r="DJ57" s="441">
        <v>484</v>
      </c>
      <c r="DK57" s="441">
        <v>611</v>
      </c>
      <c r="DL57" s="441">
        <v>616</v>
      </c>
      <c r="DM57" s="441">
        <v>687</v>
      </c>
      <c r="DN57" s="441">
        <v>620</v>
      </c>
      <c r="DO57" s="441">
        <v>496</v>
      </c>
      <c r="DP57" s="441">
        <v>469</v>
      </c>
      <c r="DQ57" s="441">
        <v>495</v>
      </c>
      <c r="DR57" s="441">
        <v>422</v>
      </c>
      <c r="DS57" s="441">
        <v>466</v>
      </c>
      <c r="DT57" s="441">
        <v>578</v>
      </c>
      <c r="DU57" s="441">
        <v>556</v>
      </c>
      <c r="DV57" s="441">
        <v>618</v>
      </c>
      <c r="DW57" s="441">
        <v>749</v>
      </c>
      <c r="DX57" s="441">
        <v>737</v>
      </c>
      <c r="DY57" s="441">
        <v>723</v>
      </c>
      <c r="DZ57" s="441">
        <v>802</v>
      </c>
      <c r="EA57" s="441">
        <v>778</v>
      </c>
      <c r="EB57" s="441">
        <v>804</v>
      </c>
      <c r="EC57" s="441">
        <v>835</v>
      </c>
      <c r="ED57" s="441">
        <v>845</v>
      </c>
      <c r="EE57" s="441">
        <v>785</v>
      </c>
      <c r="EF57" s="441">
        <v>848</v>
      </c>
      <c r="EG57" s="441">
        <v>803</v>
      </c>
      <c r="EH57" s="441">
        <v>873</v>
      </c>
      <c r="EI57" s="441">
        <v>836</v>
      </c>
      <c r="EJ57" s="441">
        <v>696</v>
      </c>
      <c r="EK57" s="441">
        <v>491</v>
      </c>
      <c r="EL57" s="441">
        <v>562</v>
      </c>
      <c r="EM57" s="441">
        <v>483</v>
      </c>
      <c r="EN57" s="441">
        <v>465</v>
      </c>
      <c r="EO57" s="441">
        <v>490</v>
      </c>
      <c r="EP57" s="441">
        <v>465</v>
      </c>
      <c r="EQ57" s="441">
        <v>481</v>
      </c>
      <c r="ER57" s="441">
        <v>541</v>
      </c>
      <c r="ES57" s="441">
        <v>441</v>
      </c>
      <c r="ET57" s="441">
        <v>404</v>
      </c>
      <c r="EU57" s="441">
        <v>454</v>
      </c>
      <c r="EV57" s="441">
        <v>417</v>
      </c>
      <c r="EW57" s="441">
        <v>418</v>
      </c>
      <c r="EX57" s="441">
        <v>435</v>
      </c>
      <c r="EY57" s="441">
        <v>415</v>
      </c>
      <c r="EZ57" s="441">
        <v>413</v>
      </c>
      <c r="FA57" s="441">
        <v>394</v>
      </c>
      <c r="FB57" s="441">
        <v>403</v>
      </c>
      <c r="FC57" s="441">
        <v>412</v>
      </c>
      <c r="FD57" s="441">
        <v>404</v>
      </c>
      <c r="FE57" s="441">
        <v>422</v>
      </c>
      <c r="FF57" s="441">
        <v>439</v>
      </c>
      <c r="FG57" s="441">
        <v>408</v>
      </c>
      <c r="FH57" s="441">
        <v>427</v>
      </c>
      <c r="FI57" s="441">
        <v>404</v>
      </c>
      <c r="FJ57" s="441">
        <v>392</v>
      </c>
      <c r="FK57" s="441">
        <v>432</v>
      </c>
      <c r="FL57" s="441">
        <v>424</v>
      </c>
      <c r="FM57" s="441">
        <v>399</v>
      </c>
      <c r="FN57" s="441">
        <v>648</v>
      </c>
      <c r="FO57" s="441">
        <v>688</v>
      </c>
      <c r="FP57" s="441">
        <v>708</v>
      </c>
      <c r="FQ57" s="441">
        <v>604</v>
      </c>
      <c r="FR57" s="441">
        <v>511</v>
      </c>
      <c r="FS57" s="441">
        <v>607</v>
      </c>
      <c r="FT57" s="441">
        <v>650</v>
      </c>
      <c r="FU57" s="441">
        <v>653</v>
      </c>
      <c r="FV57" s="441">
        <v>632</v>
      </c>
      <c r="FW57" s="441">
        <v>642</v>
      </c>
      <c r="FX57" s="441">
        <v>684</v>
      </c>
      <c r="FY57" s="441">
        <v>606</v>
      </c>
      <c r="FZ57" s="441">
        <v>590</v>
      </c>
      <c r="GA57" s="441">
        <v>702</v>
      </c>
      <c r="GB57" s="441">
        <v>816</v>
      </c>
      <c r="GC57" s="441">
        <v>802</v>
      </c>
      <c r="GD57" s="441">
        <v>838</v>
      </c>
      <c r="GE57" s="441">
        <v>850</v>
      </c>
      <c r="GF57" s="441">
        <v>962</v>
      </c>
      <c r="GG57" s="441">
        <v>1062</v>
      </c>
      <c r="GH57" s="441">
        <v>1004</v>
      </c>
      <c r="GI57" s="441">
        <v>1031</v>
      </c>
      <c r="GJ57" s="441">
        <v>1040</v>
      </c>
      <c r="GK57" s="430">
        <v>955</v>
      </c>
    </row>
    <row r="58" spans="1:648" ht="15.75" thickBot="1">
      <c r="A58" s="232" t="s">
        <v>103</v>
      </c>
      <c r="B58" s="161">
        <v>1254</v>
      </c>
      <c r="C58" s="435">
        <v>1292</v>
      </c>
      <c r="D58" s="435">
        <v>1457</v>
      </c>
      <c r="E58" s="435">
        <v>1389</v>
      </c>
      <c r="F58" s="435">
        <v>1497</v>
      </c>
      <c r="G58" s="435">
        <v>1436</v>
      </c>
      <c r="H58" s="435">
        <v>1471</v>
      </c>
      <c r="I58" s="435">
        <v>1498</v>
      </c>
      <c r="J58" s="435">
        <v>1464</v>
      </c>
      <c r="K58" s="435">
        <v>1453</v>
      </c>
      <c r="L58" s="435">
        <v>1417</v>
      </c>
      <c r="M58" s="435">
        <v>1262</v>
      </c>
      <c r="N58" s="435">
        <v>1347</v>
      </c>
      <c r="O58" s="435">
        <v>1288</v>
      </c>
      <c r="P58" s="435">
        <v>1362</v>
      </c>
      <c r="Q58" s="435">
        <v>1318</v>
      </c>
      <c r="R58" s="435">
        <v>1240</v>
      </c>
      <c r="S58" s="435">
        <v>1321</v>
      </c>
      <c r="T58" s="435">
        <v>1489</v>
      </c>
      <c r="U58" s="435">
        <v>1400</v>
      </c>
      <c r="V58" s="435">
        <v>1355</v>
      </c>
      <c r="W58" s="435">
        <v>1492</v>
      </c>
      <c r="X58" s="435">
        <v>1466</v>
      </c>
      <c r="Y58" s="435">
        <v>1234</v>
      </c>
      <c r="Z58" s="435">
        <v>1170</v>
      </c>
      <c r="AA58" s="435">
        <v>1168</v>
      </c>
      <c r="AB58" s="435">
        <v>1294</v>
      </c>
      <c r="AC58" s="435">
        <v>1274</v>
      </c>
      <c r="AD58" s="435">
        <v>1320</v>
      </c>
      <c r="AE58" s="435">
        <v>1265</v>
      </c>
      <c r="AF58" s="435">
        <v>1372</v>
      </c>
      <c r="AG58" s="435">
        <v>1301</v>
      </c>
      <c r="AH58" s="435">
        <v>1318</v>
      </c>
      <c r="AI58" s="435">
        <v>1405</v>
      </c>
      <c r="AJ58" s="435">
        <v>1352</v>
      </c>
      <c r="AK58" s="435">
        <v>1302</v>
      </c>
      <c r="AL58" s="435">
        <v>1217</v>
      </c>
      <c r="AM58" s="435">
        <v>1354</v>
      </c>
      <c r="AN58" s="435">
        <v>1474</v>
      </c>
      <c r="AO58" s="435">
        <v>1346</v>
      </c>
      <c r="AP58" s="435">
        <v>1421</v>
      </c>
      <c r="AQ58" s="435">
        <v>1591</v>
      </c>
      <c r="AR58" s="435">
        <v>1537</v>
      </c>
      <c r="AS58" s="435">
        <v>1639</v>
      </c>
      <c r="AT58" s="435">
        <v>1670</v>
      </c>
      <c r="AU58" s="435">
        <v>1712</v>
      </c>
      <c r="AV58" s="435">
        <v>1686</v>
      </c>
      <c r="AW58" s="435">
        <v>1578</v>
      </c>
      <c r="AX58" s="435">
        <v>1483</v>
      </c>
      <c r="AY58" s="435">
        <v>1557</v>
      </c>
      <c r="AZ58" s="435">
        <v>1647</v>
      </c>
      <c r="BA58" s="435">
        <v>1678</v>
      </c>
      <c r="BB58" s="435">
        <v>1829</v>
      </c>
      <c r="BC58" s="435">
        <v>1733</v>
      </c>
      <c r="BD58" s="435">
        <v>1751</v>
      </c>
      <c r="BE58" s="435">
        <v>1881</v>
      </c>
      <c r="BF58" s="435">
        <v>1866</v>
      </c>
      <c r="BG58" s="435">
        <v>1971</v>
      </c>
      <c r="BH58" s="435">
        <v>1954</v>
      </c>
      <c r="BI58" s="435">
        <v>1699</v>
      </c>
      <c r="BJ58" s="435">
        <v>1564</v>
      </c>
      <c r="BK58" s="435">
        <v>1541</v>
      </c>
      <c r="BL58" s="435">
        <v>1768</v>
      </c>
      <c r="BM58" s="435">
        <v>1719</v>
      </c>
      <c r="BN58" s="435">
        <v>1680</v>
      </c>
      <c r="BO58" s="435">
        <v>1699</v>
      </c>
      <c r="BP58" s="435">
        <v>1634</v>
      </c>
      <c r="BQ58" s="435">
        <v>1718</v>
      </c>
      <c r="BR58" s="435">
        <v>1589</v>
      </c>
      <c r="BS58" s="435">
        <v>1627</v>
      </c>
      <c r="BT58" s="435">
        <v>1695</v>
      </c>
      <c r="BU58" s="435">
        <v>1504</v>
      </c>
      <c r="BV58" s="435">
        <v>1553</v>
      </c>
      <c r="BW58" s="435">
        <v>1578</v>
      </c>
      <c r="BX58" s="435">
        <v>1620</v>
      </c>
      <c r="BY58" s="435">
        <v>1626</v>
      </c>
      <c r="BZ58" s="435">
        <v>1773</v>
      </c>
      <c r="CA58" s="435">
        <v>1659</v>
      </c>
      <c r="CB58" s="435">
        <v>1755</v>
      </c>
      <c r="CC58" s="435">
        <v>1856</v>
      </c>
      <c r="CD58" s="435">
        <v>1893</v>
      </c>
      <c r="CE58" s="435">
        <v>1693</v>
      </c>
      <c r="CF58" s="435">
        <v>1806</v>
      </c>
      <c r="CG58" s="435">
        <v>1725</v>
      </c>
      <c r="CH58" s="435">
        <v>1760</v>
      </c>
      <c r="CI58" s="435">
        <v>1770</v>
      </c>
      <c r="CJ58" s="435">
        <v>1770</v>
      </c>
      <c r="CK58" s="435">
        <v>1854</v>
      </c>
      <c r="CL58" s="435">
        <v>2023</v>
      </c>
      <c r="CM58" s="435">
        <v>1833</v>
      </c>
      <c r="CN58" s="435">
        <v>2066</v>
      </c>
      <c r="CO58" s="435">
        <v>2181</v>
      </c>
      <c r="CP58" s="435">
        <v>2091</v>
      </c>
      <c r="CQ58" s="435">
        <v>2189</v>
      </c>
      <c r="CR58" s="435">
        <v>2089</v>
      </c>
      <c r="CS58" s="435">
        <v>2135</v>
      </c>
      <c r="CT58" s="435">
        <v>2276</v>
      </c>
      <c r="CU58" s="435">
        <v>2249</v>
      </c>
      <c r="CV58" s="435">
        <v>2024</v>
      </c>
      <c r="CW58" s="435">
        <v>1853</v>
      </c>
      <c r="CX58" s="435">
        <v>2027</v>
      </c>
      <c r="CY58" s="435">
        <v>1938</v>
      </c>
      <c r="CZ58" s="435">
        <v>2014</v>
      </c>
      <c r="DA58" s="435">
        <v>2017</v>
      </c>
      <c r="DB58" s="435">
        <v>1943</v>
      </c>
      <c r="DC58" s="435">
        <v>1981</v>
      </c>
      <c r="DD58" s="435">
        <v>1946</v>
      </c>
      <c r="DE58" s="435">
        <v>1963</v>
      </c>
      <c r="DF58" s="435">
        <v>1867</v>
      </c>
      <c r="DG58" s="435">
        <v>1879</v>
      </c>
      <c r="DH58" s="435">
        <v>2088</v>
      </c>
      <c r="DI58" s="435">
        <v>2068</v>
      </c>
      <c r="DJ58" s="435">
        <v>2259</v>
      </c>
      <c r="DK58" s="435">
        <v>2339</v>
      </c>
      <c r="DL58" s="435">
        <v>2381</v>
      </c>
      <c r="DM58" s="435">
        <v>2719</v>
      </c>
      <c r="DN58" s="435">
        <v>2648</v>
      </c>
      <c r="DO58" s="435">
        <v>2849</v>
      </c>
      <c r="DP58" s="435">
        <v>2784</v>
      </c>
      <c r="DQ58" s="435">
        <v>2700</v>
      </c>
      <c r="DR58" s="435">
        <v>2694</v>
      </c>
      <c r="DS58" s="435">
        <v>2711</v>
      </c>
      <c r="DT58" s="435">
        <v>3150</v>
      </c>
      <c r="DU58" s="435">
        <v>3031</v>
      </c>
      <c r="DV58" s="435">
        <v>3306</v>
      </c>
      <c r="DW58" s="435">
        <v>3254</v>
      </c>
      <c r="DX58" s="435">
        <v>3370</v>
      </c>
      <c r="DY58" s="435">
        <v>3605</v>
      </c>
      <c r="DZ58" s="435">
        <v>3260</v>
      </c>
      <c r="EA58" s="435">
        <v>3414</v>
      </c>
      <c r="EB58" s="435">
        <v>3218</v>
      </c>
      <c r="EC58" s="435">
        <v>2874</v>
      </c>
      <c r="ED58" s="435">
        <v>2854</v>
      </c>
      <c r="EE58" s="435">
        <v>2906</v>
      </c>
      <c r="EF58" s="435">
        <v>3225</v>
      </c>
      <c r="EG58" s="435">
        <v>2880</v>
      </c>
      <c r="EH58" s="435">
        <v>3191</v>
      </c>
      <c r="EI58" s="435">
        <v>2877</v>
      </c>
      <c r="EJ58" s="435">
        <v>2932</v>
      </c>
      <c r="EK58" s="435">
        <v>2855</v>
      </c>
      <c r="EL58" s="435">
        <v>2748</v>
      </c>
      <c r="EM58" s="435">
        <v>2933</v>
      </c>
      <c r="EN58" s="435">
        <v>2619</v>
      </c>
      <c r="EO58" s="435">
        <v>2427</v>
      </c>
      <c r="EP58" s="435">
        <v>2522</v>
      </c>
      <c r="EQ58" s="435">
        <v>2429</v>
      </c>
      <c r="ER58" s="435">
        <v>2651</v>
      </c>
      <c r="ES58" s="435">
        <v>2578</v>
      </c>
      <c r="ET58" s="435">
        <v>2968</v>
      </c>
      <c r="EU58" s="435">
        <v>2659</v>
      </c>
      <c r="EV58" s="435">
        <v>2741</v>
      </c>
      <c r="EW58" s="435">
        <v>2668</v>
      </c>
      <c r="EX58" s="435">
        <v>2614</v>
      </c>
      <c r="EY58" s="435">
        <v>2834</v>
      </c>
      <c r="EZ58" s="435">
        <v>2693</v>
      </c>
      <c r="FA58" s="435">
        <v>2530</v>
      </c>
      <c r="FB58" s="435">
        <v>2545</v>
      </c>
      <c r="FC58" s="435">
        <v>2373</v>
      </c>
      <c r="FD58" s="435">
        <v>2402</v>
      </c>
      <c r="FE58" s="435">
        <v>2290</v>
      </c>
      <c r="FF58" s="435">
        <v>2439</v>
      </c>
      <c r="FG58" s="435">
        <v>2446</v>
      </c>
      <c r="FH58" s="435">
        <v>2463</v>
      </c>
      <c r="FI58" s="435">
        <v>2245</v>
      </c>
      <c r="FJ58" s="435">
        <v>2359</v>
      </c>
      <c r="FK58" s="435">
        <v>2364</v>
      </c>
      <c r="FL58" s="435">
        <v>2360</v>
      </c>
      <c r="FM58" s="435">
        <v>2161</v>
      </c>
      <c r="FN58" s="435">
        <v>2034</v>
      </c>
      <c r="FO58" s="435">
        <v>2066</v>
      </c>
      <c r="FP58" s="435">
        <v>2140</v>
      </c>
      <c r="FQ58" s="435">
        <v>1985</v>
      </c>
      <c r="FR58" s="435">
        <v>1972</v>
      </c>
      <c r="FS58" s="435">
        <v>1955</v>
      </c>
      <c r="FT58" s="435">
        <v>1930</v>
      </c>
      <c r="FU58" s="435">
        <v>2132</v>
      </c>
      <c r="FV58" s="435">
        <v>2065</v>
      </c>
      <c r="FW58" s="435">
        <v>2110</v>
      </c>
      <c r="FX58" s="435">
        <v>2270</v>
      </c>
      <c r="FY58" s="435">
        <v>2135</v>
      </c>
      <c r="FZ58" s="435">
        <v>1975</v>
      </c>
      <c r="GA58" s="435">
        <v>1817</v>
      </c>
      <c r="GB58" s="435">
        <v>1757</v>
      </c>
      <c r="GC58" s="435">
        <v>1574</v>
      </c>
      <c r="GD58" s="435">
        <v>1782</v>
      </c>
      <c r="GE58" s="435">
        <v>1758</v>
      </c>
      <c r="GF58" s="435">
        <v>1673</v>
      </c>
      <c r="GG58" s="435">
        <v>1832</v>
      </c>
      <c r="GH58" s="435">
        <v>1683</v>
      </c>
      <c r="GI58" s="435">
        <v>1657</v>
      </c>
      <c r="GJ58" s="435">
        <v>1650</v>
      </c>
      <c r="GK58" s="432">
        <v>1559</v>
      </c>
    </row>
    <row r="59" spans="1:648" ht="16.5" thickTop="1" thickBot="1">
      <c r="A59" s="162" t="s">
        <v>237</v>
      </c>
      <c r="B59" s="436">
        <v>40167</v>
      </c>
      <c r="C59" s="436">
        <v>39918</v>
      </c>
      <c r="D59" s="436">
        <v>45840</v>
      </c>
      <c r="E59" s="436">
        <v>41703</v>
      </c>
      <c r="F59" s="436">
        <v>44205</v>
      </c>
      <c r="G59" s="436">
        <v>43147</v>
      </c>
      <c r="H59" s="436">
        <v>43613</v>
      </c>
      <c r="I59" s="436">
        <v>44715</v>
      </c>
      <c r="J59" s="436">
        <v>42405</v>
      </c>
      <c r="K59" s="436">
        <v>43807</v>
      </c>
      <c r="L59" s="436">
        <v>44062</v>
      </c>
      <c r="M59" s="436">
        <v>42316</v>
      </c>
      <c r="N59" s="436">
        <v>42618</v>
      </c>
      <c r="O59" s="436">
        <v>39422</v>
      </c>
      <c r="P59" s="436">
        <v>42846</v>
      </c>
      <c r="Q59" s="436">
        <v>41471</v>
      </c>
      <c r="R59" s="436">
        <v>42151</v>
      </c>
      <c r="S59" s="436">
        <v>39916</v>
      </c>
      <c r="T59" s="436">
        <v>43318</v>
      </c>
      <c r="U59" s="436">
        <v>41415</v>
      </c>
      <c r="V59" s="436">
        <v>42785</v>
      </c>
      <c r="W59" s="436">
        <v>43224</v>
      </c>
      <c r="X59" s="436">
        <v>43375</v>
      </c>
      <c r="Y59" s="436">
        <v>41942</v>
      </c>
      <c r="Z59" s="436">
        <v>41638</v>
      </c>
      <c r="AA59" s="436">
        <v>41161</v>
      </c>
      <c r="AB59" s="436">
        <v>44992</v>
      </c>
      <c r="AC59" s="436">
        <v>42654</v>
      </c>
      <c r="AD59" s="436">
        <v>45613</v>
      </c>
      <c r="AE59" s="436">
        <v>43747</v>
      </c>
      <c r="AF59" s="436">
        <v>45564</v>
      </c>
      <c r="AG59" s="436">
        <v>44950</v>
      </c>
      <c r="AH59" s="436">
        <v>44334</v>
      </c>
      <c r="AI59" s="436">
        <v>45599</v>
      </c>
      <c r="AJ59" s="436">
        <v>44815</v>
      </c>
      <c r="AK59" s="436">
        <v>43875</v>
      </c>
      <c r="AL59" s="436">
        <v>44261</v>
      </c>
      <c r="AM59" s="436">
        <v>45708</v>
      </c>
      <c r="AN59" s="436">
        <v>49019</v>
      </c>
      <c r="AO59" s="436">
        <v>46516</v>
      </c>
      <c r="AP59" s="436">
        <v>49107</v>
      </c>
      <c r="AQ59" s="436">
        <v>49712</v>
      </c>
      <c r="AR59" s="436">
        <v>49633</v>
      </c>
      <c r="AS59" s="436">
        <v>49742</v>
      </c>
      <c r="AT59" s="436">
        <v>50196</v>
      </c>
      <c r="AU59" s="436">
        <v>50276</v>
      </c>
      <c r="AV59" s="436">
        <v>50676</v>
      </c>
      <c r="AW59" s="436">
        <v>48528</v>
      </c>
      <c r="AX59" s="436">
        <v>47153</v>
      </c>
      <c r="AY59" s="436">
        <v>47543</v>
      </c>
      <c r="AZ59" s="436">
        <v>51065</v>
      </c>
      <c r="BA59" s="436">
        <v>50499</v>
      </c>
      <c r="BB59" s="436">
        <v>53292</v>
      </c>
      <c r="BC59" s="436">
        <v>52549</v>
      </c>
      <c r="BD59" s="436">
        <v>54504</v>
      </c>
      <c r="BE59" s="436">
        <v>54066</v>
      </c>
      <c r="BF59" s="436">
        <v>54290</v>
      </c>
      <c r="BG59" s="436">
        <v>54793</v>
      </c>
      <c r="BH59" s="436">
        <v>56608</v>
      </c>
      <c r="BI59" s="436">
        <v>53036</v>
      </c>
      <c r="BJ59" s="436">
        <v>51833</v>
      </c>
      <c r="BK59" s="436">
        <v>54404</v>
      </c>
      <c r="BL59" s="436">
        <v>59070</v>
      </c>
      <c r="BM59" s="436">
        <v>55785</v>
      </c>
      <c r="BN59" s="436">
        <v>62271</v>
      </c>
      <c r="BO59" s="436">
        <v>61856</v>
      </c>
      <c r="BP59" s="436">
        <v>61563</v>
      </c>
      <c r="BQ59" s="436">
        <v>62208</v>
      </c>
      <c r="BR59" s="436">
        <v>61818</v>
      </c>
      <c r="BS59" s="436">
        <v>62378</v>
      </c>
      <c r="BT59" s="436">
        <v>63136</v>
      </c>
      <c r="BU59" s="436">
        <v>59765</v>
      </c>
      <c r="BV59" s="436">
        <v>59288</v>
      </c>
      <c r="BW59" s="436">
        <v>62146</v>
      </c>
      <c r="BX59" s="436">
        <v>65838</v>
      </c>
      <c r="BY59" s="436">
        <v>62071</v>
      </c>
      <c r="BZ59" s="436">
        <v>67155</v>
      </c>
      <c r="CA59" s="436">
        <v>66095</v>
      </c>
      <c r="CB59" s="436">
        <v>67003</v>
      </c>
      <c r="CC59" s="436">
        <v>69270</v>
      </c>
      <c r="CD59" s="436">
        <v>66612</v>
      </c>
      <c r="CE59" s="436">
        <v>65498</v>
      </c>
      <c r="CF59" s="436">
        <v>67679</v>
      </c>
      <c r="CG59" s="436">
        <v>61561</v>
      </c>
      <c r="CH59" s="436">
        <v>63268</v>
      </c>
      <c r="CI59" s="436">
        <v>65404</v>
      </c>
      <c r="CJ59" s="436">
        <v>66618</v>
      </c>
      <c r="CK59" s="436">
        <v>67841</v>
      </c>
      <c r="CL59" s="436">
        <v>71365</v>
      </c>
      <c r="CM59" s="436">
        <v>71279</v>
      </c>
      <c r="CN59" s="436">
        <v>74463</v>
      </c>
      <c r="CO59" s="436">
        <v>77141</v>
      </c>
      <c r="CP59" s="436">
        <v>75092</v>
      </c>
      <c r="CQ59" s="436">
        <v>77773</v>
      </c>
      <c r="CR59" s="436">
        <v>73746</v>
      </c>
      <c r="CS59" s="436">
        <v>68454</v>
      </c>
      <c r="CT59" s="436">
        <v>67057</v>
      </c>
      <c r="CU59" s="436">
        <v>66767</v>
      </c>
      <c r="CV59" s="436">
        <v>70813</v>
      </c>
      <c r="CW59" s="436">
        <v>68592</v>
      </c>
      <c r="CX59" s="436">
        <v>70296</v>
      </c>
      <c r="CY59" s="436">
        <v>68166</v>
      </c>
      <c r="CZ59" s="436">
        <v>68814</v>
      </c>
      <c r="DA59" s="436">
        <v>67323</v>
      </c>
      <c r="DB59" s="436">
        <v>65729</v>
      </c>
      <c r="DC59" s="436">
        <v>67692</v>
      </c>
      <c r="DD59" s="436">
        <v>65897</v>
      </c>
      <c r="DE59" s="436">
        <v>64034</v>
      </c>
      <c r="DF59" s="436">
        <v>62118</v>
      </c>
      <c r="DG59" s="436">
        <v>64938</v>
      </c>
      <c r="DH59" s="436">
        <v>70220</v>
      </c>
      <c r="DI59" s="436">
        <v>68111</v>
      </c>
      <c r="DJ59" s="436">
        <v>70732</v>
      </c>
      <c r="DK59" s="436">
        <v>72070</v>
      </c>
      <c r="DL59" s="436">
        <v>74515</v>
      </c>
      <c r="DM59" s="436">
        <v>76322</v>
      </c>
      <c r="DN59" s="436">
        <v>74704</v>
      </c>
      <c r="DO59" s="436">
        <v>77681</v>
      </c>
      <c r="DP59" s="436">
        <v>79506</v>
      </c>
      <c r="DQ59" s="436">
        <v>74078</v>
      </c>
      <c r="DR59" s="436">
        <v>74747</v>
      </c>
      <c r="DS59" s="436">
        <v>74966</v>
      </c>
      <c r="DT59" s="436">
        <v>82243</v>
      </c>
      <c r="DU59" s="436">
        <v>79737</v>
      </c>
      <c r="DV59" s="436">
        <v>88774</v>
      </c>
      <c r="DW59" s="436">
        <v>86703</v>
      </c>
      <c r="DX59" s="436">
        <v>88320</v>
      </c>
      <c r="DY59" s="436">
        <v>92355</v>
      </c>
      <c r="DZ59" s="436">
        <v>90723</v>
      </c>
      <c r="EA59" s="436">
        <v>92505</v>
      </c>
      <c r="EB59" s="436">
        <v>93602</v>
      </c>
      <c r="EC59" s="436">
        <v>87231</v>
      </c>
      <c r="ED59" s="436">
        <v>88884</v>
      </c>
      <c r="EE59" s="436">
        <v>93528</v>
      </c>
      <c r="EF59" s="436">
        <v>99280</v>
      </c>
      <c r="EG59" s="436">
        <v>96188</v>
      </c>
      <c r="EH59" s="436">
        <v>102754</v>
      </c>
      <c r="EI59" s="436">
        <v>98672</v>
      </c>
      <c r="EJ59" s="436">
        <v>102272</v>
      </c>
      <c r="EK59" s="436">
        <v>104770</v>
      </c>
      <c r="EL59" s="436">
        <v>100138</v>
      </c>
      <c r="EM59" s="436">
        <v>103411</v>
      </c>
      <c r="EN59" s="436">
        <v>99646</v>
      </c>
      <c r="EO59" s="436">
        <v>93613</v>
      </c>
      <c r="EP59" s="436">
        <v>98475</v>
      </c>
      <c r="EQ59" s="436">
        <v>100456</v>
      </c>
      <c r="ER59" s="436">
        <v>102870</v>
      </c>
      <c r="ES59" s="436">
        <v>104408</v>
      </c>
      <c r="ET59" s="436">
        <v>104642</v>
      </c>
      <c r="EU59" s="436">
        <v>101680</v>
      </c>
      <c r="EV59" s="436">
        <v>105669</v>
      </c>
      <c r="EW59" s="436">
        <v>107297</v>
      </c>
      <c r="EX59" s="436">
        <v>100420</v>
      </c>
      <c r="EY59" s="436">
        <v>102927</v>
      </c>
      <c r="EZ59" s="436">
        <v>101139</v>
      </c>
      <c r="FA59" s="436">
        <v>90157</v>
      </c>
      <c r="FB59" s="436">
        <v>91214</v>
      </c>
      <c r="FC59" s="436">
        <v>90692</v>
      </c>
      <c r="FD59" s="436">
        <v>98950</v>
      </c>
      <c r="FE59" s="436">
        <v>94314</v>
      </c>
      <c r="FF59" s="436">
        <v>99407</v>
      </c>
      <c r="FG59" s="436">
        <v>94519</v>
      </c>
      <c r="FH59" s="436">
        <v>96589</v>
      </c>
      <c r="FI59" s="436">
        <v>95963</v>
      </c>
      <c r="FJ59" s="436">
        <v>94689</v>
      </c>
      <c r="FK59" s="436">
        <v>99792</v>
      </c>
      <c r="FL59" s="436">
        <v>96720</v>
      </c>
      <c r="FM59" s="436">
        <v>89953</v>
      </c>
      <c r="FN59" s="436">
        <v>86686</v>
      </c>
      <c r="FO59" s="436">
        <v>85885</v>
      </c>
      <c r="FP59" s="436">
        <v>92058</v>
      </c>
      <c r="FQ59" s="436">
        <v>86794</v>
      </c>
      <c r="FR59" s="436">
        <v>88005</v>
      </c>
      <c r="FS59" s="436">
        <v>87260</v>
      </c>
      <c r="FT59" s="436">
        <v>88731</v>
      </c>
      <c r="FU59" s="436">
        <v>88022</v>
      </c>
      <c r="FV59" s="436">
        <v>86588</v>
      </c>
      <c r="FW59" s="436">
        <v>88489</v>
      </c>
      <c r="FX59" s="436">
        <v>85799</v>
      </c>
      <c r="FY59" s="436">
        <v>81669</v>
      </c>
      <c r="FZ59" s="436">
        <v>80167</v>
      </c>
      <c r="GA59" s="436">
        <v>81421</v>
      </c>
      <c r="GB59" s="436">
        <v>82110</v>
      </c>
      <c r="GC59" s="436">
        <v>80216</v>
      </c>
      <c r="GD59" s="436">
        <v>84347</v>
      </c>
      <c r="GE59" s="436">
        <v>80703</v>
      </c>
      <c r="GF59" s="436">
        <v>83867</v>
      </c>
      <c r="GG59" s="436">
        <v>84299</v>
      </c>
      <c r="GH59" s="436">
        <v>79574</v>
      </c>
      <c r="GI59" s="436">
        <v>82957</v>
      </c>
      <c r="GJ59" s="436">
        <v>84372</v>
      </c>
      <c r="GK59" s="437">
        <v>78399</v>
      </c>
    </row>
    <row r="60" spans="1:648">
      <c r="A60" s="229"/>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44"/>
      <c r="BR60" s="444"/>
      <c r="BS60" s="444"/>
      <c r="BT60" s="444"/>
      <c r="BU60" s="444"/>
      <c r="BV60" s="444"/>
      <c r="BW60" s="444"/>
      <c r="BX60" s="444"/>
      <c r="BY60" s="444"/>
      <c r="BZ60" s="444"/>
      <c r="CA60" s="444"/>
      <c r="CB60" s="444"/>
      <c r="CC60" s="444"/>
      <c r="CD60" s="444"/>
      <c r="CE60" s="444"/>
      <c r="CF60" s="444"/>
      <c r="CG60" s="444"/>
      <c r="CH60" s="444"/>
      <c r="CI60" s="444"/>
      <c r="CJ60" s="444"/>
      <c r="CK60" s="444"/>
      <c r="CL60" s="444"/>
      <c r="CM60" s="444"/>
      <c r="CN60" s="444"/>
      <c r="CO60" s="444"/>
      <c r="CP60" s="444"/>
      <c r="CQ60" s="444"/>
      <c r="CR60" s="444"/>
      <c r="CS60" s="444"/>
      <c r="CT60" s="444"/>
      <c r="CU60" s="444"/>
      <c r="CV60" s="444"/>
      <c r="CW60" s="444"/>
      <c r="CX60" s="444"/>
      <c r="CY60" s="444"/>
      <c r="CZ60" s="444"/>
      <c r="DA60" s="444"/>
      <c r="DB60" s="444"/>
      <c r="DC60" s="444"/>
      <c r="DD60" s="444"/>
      <c r="DE60" s="444"/>
      <c r="DF60" s="444"/>
      <c r="DG60" s="444"/>
      <c r="DH60" s="444"/>
      <c r="DI60" s="444"/>
      <c r="DJ60" s="444"/>
      <c r="DK60" s="444"/>
      <c r="DL60" s="444"/>
      <c r="DM60" s="444"/>
      <c r="DN60" s="444"/>
      <c r="DO60" s="444"/>
      <c r="DP60" s="444"/>
      <c r="DQ60" s="444"/>
      <c r="DR60" s="444"/>
      <c r="DS60" s="444"/>
      <c r="DT60" s="444"/>
      <c r="DU60" s="444"/>
      <c r="DV60" s="444"/>
      <c r="DW60" s="444"/>
      <c r="DX60" s="444"/>
      <c r="DY60" s="444"/>
      <c r="DZ60" s="444"/>
      <c r="EA60" s="444"/>
      <c r="EB60" s="444"/>
      <c r="EC60" s="444"/>
      <c r="ED60" s="444"/>
      <c r="EE60" s="444"/>
      <c r="EF60" s="444"/>
      <c r="EG60" s="444"/>
      <c r="EH60" s="444"/>
      <c r="EI60" s="444"/>
      <c r="EJ60" s="444"/>
      <c r="EK60" s="444"/>
      <c r="EL60" s="444"/>
      <c r="EM60" s="444"/>
      <c r="EN60" s="444"/>
      <c r="EO60" s="444"/>
      <c r="EP60" s="444"/>
      <c r="EQ60" s="444"/>
      <c r="ER60" s="444"/>
      <c r="ES60" s="444"/>
      <c r="ET60" s="444"/>
      <c r="EU60" s="444"/>
      <c r="EV60" s="444"/>
      <c r="EW60" s="444"/>
      <c r="EX60" s="444"/>
      <c r="EY60" s="444"/>
      <c r="EZ60" s="444"/>
      <c r="FA60" s="444"/>
      <c r="FB60" s="444"/>
      <c r="FC60" s="444"/>
      <c r="FD60" s="444"/>
      <c r="FE60" s="444"/>
      <c r="FF60" s="444"/>
      <c r="FG60" s="444"/>
      <c r="FH60" s="444"/>
      <c r="FI60" s="444"/>
      <c r="FJ60" s="444"/>
      <c r="FK60" s="444"/>
      <c r="FL60" s="444"/>
      <c r="FM60" s="444"/>
      <c r="FN60" s="444"/>
      <c r="FO60" s="444"/>
      <c r="FP60" s="444"/>
      <c r="FQ60" s="444"/>
      <c r="FR60" s="444"/>
      <c r="FS60" s="444"/>
      <c r="FT60" s="444"/>
      <c r="FU60" s="444"/>
      <c r="FV60" s="444"/>
      <c r="FW60" s="444"/>
      <c r="FX60" s="444"/>
      <c r="FY60" s="444"/>
      <c r="GE60" s="444"/>
      <c r="GK60" s="433"/>
    </row>
    <row r="62" spans="1:648">
      <c r="B62" s="434">
        <f>YEAR(B46)</f>
        <v>2001</v>
      </c>
      <c r="C62" s="434">
        <f t="shared" ref="C62:BN62" si="16">YEAR(C46)</f>
        <v>2001</v>
      </c>
      <c r="D62" s="434">
        <f t="shared" si="16"/>
        <v>2001</v>
      </c>
      <c r="E62" s="434">
        <f t="shared" si="16"/>
        <v>2001</v>
      </c>
      <c r="F62" s="434">
        <f t="shared" si="16"/>
        <v>2001</v>
      </c>
      <c r="G62" s="434">
        <f t="shared" si="16"/>
        <v>2001</v>
      </c>
      <c r="H62" s="434">
        <f t="shared" si="16"/>
        <v>2001</v>
      </c>
      <c r="I62" s="434">
        <f t="shared" si="16"/>
        <v>2001</v>
      </c>
      <c r="J62" s="434">
        <f t="shared" si="16"/>
        <v>2001</v>
      </c>
      <c r="K62" s="434">
        <f t="shared" si="16"/>
        <v>2001</v>
      </c>
      <c r="L62" s="434">
        <f t="shared" si="16"/>
        <v>2001</v>
      </c>
      <c r="M62" s="434">
        <f t="shared" si="16"/>
        <v>2001</v>
      </c>
      <c r="N62" s="434">
        <f t="shared" si="16"/>
        <v>2002</v>
      </c>
      <c r="O62" s="434">
        <f t="shared" si="16"/>
        <v>2002</v>
      </c>
      <c r="P62" s="434">
        <f t="shared" si="16"/>
        <v>2002</v>
      </c>
      <c r="Q62" s="434">
        <f t="shared" si="16"/>
        <v>2002</v>
      </c>
      <c r="R62" s="434">
        <f t="shared" si="16"/>
        <v>2002</v>
      </c>
      <c r="S62" s="434">
        <f t="shared" si="16"/>
        <v>2002</v>
      </c>
      <c r="T62" s="434">
        <f t="shared" si="16"/>
        <v>2002</v>
      </c>
      <c r="U62" s="434">
        <f t="shared" si="16"/>
        <v>2002</v>
      </c>
      <c r="V62" s="434">
        <f t="shared" si="16"/>
        <v>2002</v>
      </c>
      <c r="W62" s="434">
        <f t="shared" si="16"/>
        <v>2002</v>
      </c>
      <c r="X62" s="434">
        <f t="shared" si="16"/>
        <v>2002</v>
      </c>
      <c r="Y62" s="434">
        <f t="shared" si="16"/>
        <v>2002</v>
      </c>
      <c r="Z62" s="434">
        <f t="shared" si="16"/>
        <v>2003</v>
      </c>
      <c r="AA62" s="434">
        <f t="shared" si="16"/>
        <v>2003</v>
      </c>
      <c r="AB62" s="434">
        <f t="shared" si="16"/>
        <v>2003</v>
      </c>
      <c r="AC62" s="434">
        <f t="shared" si="16"/>
        <v>2003</v>
      </c>
      <c r="AD62" s="434">
        <f t="shared" si="16"/>
        <v>2003</v>
      </c>
      <c r="AE62" s="434">
        <f t="shared" si="16"/>
        <v>2003</v>
      </c>
      <c r="AF62" s="434">
        <f t="shared" si="16"/>
        <v>2003</v>
      </c>
      <c r="AG62" s="434">
        <f t="shared" si="16"/>
        <v>2003</v>
      </c>
      <c r="AH62" s="434">
        <f t="shared" si="16"/>
        <v>2003</v>
      </c>
      <c r="AI62" s="434">
        <f t="shared" si="16"/>
        <v>2003</v>
      </c>
      <c r="AJ62" s="434">
        <f t="shared" si="16"/>
        <v>2003</v>
      </c>
      <c r="AK62" s="434">
        <f t="shared" si="16"/>
        <v>2003</v>
      </c>
      <c r="AL62" s="434">
        <f t="shared" si="16"/>
        <v>2004</v>
      </c>
      <c r="AM62" s="434">
        <f t="shared" si="16"/>
        <v>2004</v>
      </c>
      <c r="AN62" s="434">
        <f t="shared" si="16"/>
        <v>2004</v>
      </c>
      <c r="AO62" s="434">
        <f t="shared" si="16"/>
        <v>2004</v>
      </c>
      <c r="AP62" s="434">
        <f t="shared" si="16"/>
        <v>2004</v>
      </c>
      <c r="AQ62" s="434">
        <f t="shared" si="16"/>
        <v>2004</v>
      </c>
      <c r="AR62" s="434">
        <f t="shared" si="16"/>
        <v>2004</v>
      </c>
      <c r="AS62" s="434">
        <f t="shared" si="16"/>
        <v>2004</v>
      </c>
      <c r="AT62" s="434">
        <f t="shared" si="16"/>
        <v>2004</v>
      </c>
      <c r="AU62" s="434">
        <f t="shared" si="16"/>
        <v>2004</v>
      </c>
      <c r="AV62" s="434">
        <f t="shared" si="16"/>
        <v>2004</v>
      </c>
      <c r="AW62" s="434">
        <f t="shared" si="16"/>
        <v>2004</v>
      </c>
      <c r="AX62" s="434">
        <f t="shared" si="16"/>
        <v>2005</v>
      </c>
      <c r="AY62" s="434">
        <f t="shared" si="16"/>
        <v>2005</v>
      </c>
      <c r="AZ62" s="434">
        <f t="shared" si="16"/>
        <v>2005</v>
      </c>
      <c r="BA62" s="434">
        <f t="shared" si="16"/>
        <v>2005</v>
      </c>
      <c r="BB62" s="434">
        <f t="shared" si="16"/>
        <v>2005</v>
      </c>
      <c r="BC62" s="434">
        <f t="shared" si="16"/>
        <v>2005</v>
      </c>
      <c r="BD62" s="434">
        <f t="shared" si="16"/>
        <v>2005</v>
      </c>
      <c r="BE62" s="434">
        <f t="shared" si="16"/>
        <v>2005</v>
      </c>
      <c r="BF62" s="434">
        <f t="shared" si="16"/>
        <v>2005</v>
      </c>
      <c r="BG62" s="434">
        <f t="shared" si="16"/>
        <v>2005</v>
      </c>
      <c r="BH62" s="434">
        <f t="shared" si="16"/>
        <v>2005</v>
      </c>
      <c r="BI62" s="434">
        <f t="shared" si="16"/>
        <v>2005</v>
      </c>
      <c r="BJ62" s="434">
        <f t="shared" si="16"/>
        <v>2006</v>
      </c>
      <c r="BK62" s="434">
        <f t="shared" si="16"/>
        <v>2006</v>
      </c>
      <c r="BL62" s="434">
        <f t="shared" si="16"/>
        <v>2006</v>
      </c>
      <c r="BM62" s="434">
        <f t="shared" si="16"/>
        <v>2006</v>
      </c>
      <c r="BN62" s="434">
        <f t="shared" si="16"/>
        <v>2006</v>
      </c>
      <c r="BO62" s="434">
        <f t="shared" ref="BO62:DZ62" si="17">YEAR(BO46)</f>
        <v>2006</v>
      </c>
      <c r="BP62" s="434">
        <f t="shared" si="17"/>
        <v>2006</v>
      </c>
      <c r="BQ62" s="434">
        <f t="shared" si="17"/>
        <v>2006</v>
      </c>
      <c r="BR62" s="434">
        <f t="shared" si="17"/>
        <v>2006</v>
      </c>
      <c r="BS62" s="434">
        <f t="shared" si="17"/>
        <v>2006</v>
      </c>
      <c r="BT62" s="434">
        <f t="shared" si="17"/>
        <v>2006</v>
      </c>
      <c r="BU62" s="434">
        <f t="shared" si="17"/>
        <v>2006</v>
      </c>
      <c r="BV62" s="434">
        <f t="shared" si="17"/>
        <v>2007</v>
      </c>
      <c r="BW62" s="434">
        <f t="shared" si="17"/>
        <v>2007</v>
      </c>
      <c r="BX62" s="434">
        <f t="shared" si="17"/>
        <v>2007</v>
      </c>
      <c r="BY62" s="434">
        <f t="shared" si="17"/>
        <v>2007</v>
      </c>
      <c r="BZ62" s="434">
        <f t="shared" si="17"/>
        <v>2007</v>
      </c>
      <c r="CA62" s="434">
        <f t="shared" si="17"/>
        <v>2007</v>
      </c>
      <c r="CB62" s="434">
        <f t="shared" si="17"/>
        <v>2007</v>
      </c>
      <c r="CC62" s="434">
        <f t="shared" si="17"/>
        <v>2007</v>
      </c>
      <c r="CD62" s="434">
        <f t="shared" si="17"/>
        <v>2007</v>
      </c>
      <c r="CE62" s="434">
        <f t="shared" si="17"/>
        <v>2007</v>
      </c>
      <c r="CF62" s="434">
        <f t="shared" si="17"/>
        <v>2007</v>
      </c>
      <c r="CG62" s="434">
        <f t="shared" si="17"/>
        <v>2007</v>
      </c>
      <c r="CH62" s="434">
        <f t="shared" si="17"/>
        <v>2008</v>
      </c>
      <c r="CI62" s="434">
        <f t="shared" si="17"/>
        <v>2008</v>
      </c>
      <c r="CJ62" s="434">
        <f t="shared" si="17"/>
        <v>2008</v>
      </c>
      <c r="CK62" s="434">
        <f t="shared" si="17"/>
        <v>2008</v>
      </c>
      <c r="CL62" s="434">
        <f t="shared" si="17"/>
        <v>2008</v>
      </c>
      <c r="CM62" s="434">
        <f t="shared" si="17"/>
        <v>2008</v>
      </c>
      <c r="CN62" s="434">
        <f t="shared" si="17"/>
        <v>2008</v>
      </c>
      <c r="CO62" s="434">
        <f t="shared" si="17"/>
        <v>2008</v>
      </c>
      <c r="CP62" s="434">
        <f t="shared" si="17"/>
        <v>2008</v>
      </c>
      <c r="CQ62" s="434">
        <f t="shared" si="17"/>
        <v>2008</v>
      </c>
      <c r="CR62" s="434">
        <f t="shared" si="17"/>
        <v>2008</v>
      </c>
      <c r="CS62" s="434">
        <f t="shared" si="17"/>
        <v>2008</v>
      </c>
      <c r="CT62" s="434">
        <f t="shared" si="17"/>
        <v>2009</v>
      </c>
      <c r="CU62" s="434">
        <f t="shared" si="17"/>
        <v>2009</v>
      </c>
      <c r="CV62" s="434">
        <f t="shared" si="17"/>
        <v>2009</v>
      </c>
      <c r="CW62" s="434">
        <f t="shared" si="17"/>
        <v>2009</v>
      </c>
      <c r="CX62" s="434">
        <f t="shared" si="17"/>
        <v>2009</v>
      </c>
      <c r="CY62" s="434">
        <f t="shared" si="17"/>
        <v>2009</v>
      </c>
      <c r="CZ62" s="434">
        <f t="shared" si="17"/>
        <v>2009</v>
      </c>
      <c r="DA62" s="434">
        <f t="shared" si="17"/>
        <v>2009</v>
      </c>
      <c r="DB62" s="434">
        <f t="shared" si="17"/>
        <v>2009</v>
      </c>
      <c r="DC62" s="434">
        <f t="shared" si="17"/>
        <v>2009</v>
      </c>
      <c r="DD62" s="434">
        <f t="shared" si="17"/>
        <v>2009</v>
      </c>
      <c r="DE62" s="434">
        <f t="shared" si="17"/>
        <v>2009</v>
      </c>
      <c r="DF62" s="434">
        <f t="shared" si="17"/>
        <v>2010</v>
      </c>
      <c r="DG62" s="434">
        <f t="shared" si="17"/>
        <v>2010</v>
      </c>
      <c r="DH62" s="434">
        <f t="shared" si="17"/>
        <v>2010</v>
      </c>
      <c r="DI62" s="434">
        <f t="shared" si="17"/>
        <v>2010</v>
      </c>
      <c r="DJ62" s="434">
        <f t="shared" si="17"/>
        <v>2010</v>
      </c>
      <c r="DK62" s="434">
        <f t="shared" si="17"/>
        <v>2010</v>
      </c>
      <c r="DL62" s="434">
        <f t="shared" si="17"/>
        <v>2010</v>
      </c>
      <c r="DM62" s="434">
        <f t="shared" si="17"/>
        <v>2010</v>
      </c>
      <c r="DN62" s="434">
        <f t="shared" si="17"/>
        <v>2010</v>
      </c>
      <c r="DO62" s="434">
        <f t="shared" si="17"/>
        <v>2010</v>
      </c>
      <c r="DP62" s="434">
        <f t="shared" si="17"/>
        <v>2010</v>
      </c>
      <c r="DQ62" s="434">
        <f t="shared" si="17"/>
        <v>2010</v>
      </c>
      <c r="DR62" s="434">
        <f t="shared" si="17"/>
        <v>2011</v>
      </c>
      <c r="DS62" s="434">
        <f t="shared" si="17"/>
        <v>2011</v>
      </c>
      <c r="DT62" s="434">
        <f t="shared" si="17"/>
        <v>2011</v>
      </c>
      <c r="DU62" s="434">
        <f t="shared" si="17"/>
        <v>2011</v>
      </c>
      <c r="DV62" s="434">
        <f t="shared" si="17"/>
        <v>2011</v>
      </c>
      <c r="DW62" s="434">
        <f t="shared" si="17"/>
        <v>2011</v>
      </c>
      <c r="DX62" s="434">
        <f t="shared" si="17"/>
        <v>2011</v>
      </c>
      <c r="DY62" s="434">
        <f t="shared" si="17"/>
        <v>2011</v>
      </c>
      <c r="DZ62" s="434">
        <f t="shared" si="17"/>
        <v>2011</v>
      </c>
      <c r="EA62" s="434">
        <f t="shared" ref="EA62:GL62" si="18">YEAR(EA46)</f>
        <v>2011</v>
      </c>
      <c r="EB62" s="434">
        <f t="shared" si="18"/>
        <v>2011</v>
      </c>
      <c r="EC62" s="434">
        <f t="shared" si="18"/>
        <v>2011</v>
      </c>
      <c r="ED62" s="434">
        <f t="shared" si="18"/>
        <v>2012</v>
      </c>
      <c r="EE62" s="434">
        <f t="shared" si="18"/>
        <v>2012</v>
      </c>
      <c r="EF62" s="434">
        <f t="shared" si="18"/>
        <v>2012</v>
      </c>
      <c r="EG62" s="434">
        <f t="shared" si="18"/>
        <v>2012</v>
      </c>
      <c r="EH62" s="434">
        <f t="shared" si="18"/>
        <v>2012</v>
      </c>
      <c r="EI62" s="434">
        <f t="shared" si="18"/>
        <v>2012</v>
      </c>
      <c r="EJ62" s="434">
        <f t="shared" si="18"/>
        <v>2012</v>
      </c>
      <c r="EK62" s="434">
        <f t="shared" si="18"/>
        <v>2012</v>
      </c>
      <c r="EL62" s="434">
        <f t="shared" si="18"/>
        <v>2012</v>
      </c>
      <c r="EM62" s="434">
        <f t="shared" si="18"/>
        <v>2012</v>
      </c>
      <c r="EN62" s="434">
        <f t="shared" si="18"/>
        <v>2012</v>
      </c>
      <c r="EO62" s="434">
        <f t="shared" si="18"/>
        <v>2012</v>
      </c>
      <c r="EP62" s="434">
        <f t="shared" si="18"/>
        <v>2013</v>
      </c>
      <c r="EQ62" s="434">
        <f t="shared" si="18"/>
        <v>2013</v>
      </c>
      <c r="ER62" s="434">
        <f t="shared" si="18"/>
        <v>2013</v>
      </c>
      <c r="ES62" s="434">
        <f t="shared" si="18"/>
        <v>2013</v>
      </c>
      <c r="ET62" s="434">
        <f t="shared" si="18"/>
        <v>2013</v>
      </c>
      <c r="EU62" s="434">
        <f t="shared" si="18"/>
        <v>2013</v>
      </c>
      <c r="EV62" s="434">
        <f t="shared" si="18"/>
        <v>2013</v>
      </c>
      <c r="EW62" s="434">
        <f t="shared" si="18"/>
        <v>2013</v>
      </c>
      <c r="EX62" s="434">
        <f t="shared" si="18"/>
        <v>2013</v>
      </c>
      <c r="EY62" s="434">
        <f t="shared" si="18"/>
        <v>2013</v>
      </c>
      <c r="EZ62" s="434">
        <f t="shared" si="18"/>
        <v>2013</v>
      </c>
      <c r="FA62" s="434">
        <f t="shared" si="18"/>
        <v>2013</v>
      </c>
      <c r="FB62" s="434">
        <f t="shared" si="18"/>
        <v>2014</v>
      </c>
      <c r="FC62" s="434">
        <f t="shared" si="18"/>
        <v>2014</v>
      </c>
      <c r="FD62" s="434">
        <f t="shared" si="18"/>
        <v>2014</v>
      </c>
      <c r="FE62" s="434">
        <f t="shared" si="18"/>
        <v>2014</v>
      </c>
      <c r="FF62" s="434">
        <f t="shared" si="18"/>
        <v>2014</v>
      </c>
      <c r="FG62" s="434">
        <f t="shared" si="18"/>
        <v>2014</v>
      </c>
      <c r="FH62" s="434">
        <f t="shared" si="18"/>
        <v>2014</v>
      </c>
      <c r="FI62" s="434">
        <f t="shared" si="18"/>
        <v>2014</v>
      </c>
      <c r="FJ62" s="434">
        <f t="shared" si="18"/>
        <v>2014</v>
      </c>
      <c r="FK62" s="434">
        <f t="shared" si="18"/>
        <v>2014</v>
      </c>
      <c r="FL62" s="434">
        <f t="shared" si="18"/>
        <v>2014</v>
      </c>
      <c r="FM62" s="434">
        <f t="shared" si="18"/>
        <v>2014</v>
      </c>
      <c r="FN62" s="434">
        <f t="shared" si="18"/>
        <v>2015</v>
      </c>
      <c r="FO62" s="434">
        <f t="shared" si="18"/>
        <v>2015</v>
      </c>
      <c r="FP62" s="434">
        <f t="shared" si="18"/>
        <v>2015</v>
      </c>
      <c r="FQ62" s="434">
        <f t="shared" si="18"/>
        <v>2015</v>
      </c>
      <c r="FR62" s="434">
        <f t="shared" si="18"/>
        <v>2015</v>
      </c>
      <c r="FS62" s="434">
        <f t="shared" si="18"/>
        <v>2015</v>
      </c>
      <c r="FT62" s="434">
        <f t="shared" si="18"/>
        <v>2015</v>
      </c>
      <c r="FU62" s="434">
        <f t="shared" si="18"/>
        <v>2015</v>
      </c>
      <c r="FV62" s="434">
        <f t="shared" si="18"/>
        <v>2015</v>
      </c>
      <c r="FW62" s="434">
        <f t="shared" si="18"/>
        <v>2015</v>
      </c>
      <c r="FX62" s="434">
        <f t="shared" si="18"/>
        <v>2015</v>
      </c>
      <c r="FY62" s="434">
        <f t="shared" si="18"/>
        <v>2015</v>
      </c>
      <c r="FZ62" s="434">
        <f>YEAR(FZ46)</f>
        <v>2016</v>
      </c>
      <c r="GA62" s="434">
        <f t="shared" si="18"/>
        <v>2016</v>
      </c>
      <c r="GB62" s="434">
        <f t="shared" si="18"/>
        <v>2016</v>
      </c>
      <c r="GC62" s="434">
        <f t="shared" si="18"/>
        <v>2016</v>
      </c>
      <c r="GD62" s="434">
        <f t="shared" si="18"/>
        <v>2016</v>
      </c>
      <c r="GE62" s="434">
        <f t="shared" si="18"/>
        <v>2016</v>
      </c>
      <c r="GF62" s="434">
        <f t="shared" si="18"/>
        <v>2016</v>
      </c>
      <c r="GG62" s="434">
        <f t="shared" si="18"/>
        <v>2016</v>
      </c>
      <c r="GH62" s="434">
        <f t="shared" si="18"/>
        <v>2016</v>
      </c>
      <c r="GI62" s="434">
        <f t="shared" si="18"/>
        <v>2016</v>
      </c>
      <c r="GJ62" s="434">
        <f t="shared" si="18"/>
        <v>2016</v>
      </c>
      <c r="GK62" s="434">
        <f t="shared" si="18"/>
        <v>2016</v>
      </c>
      <c r="GL62" s="434">
        <f t="shared" si="18"/>
        <v>1900</v>
      </c>
      <c r="GM62" s="434">
        <f t="shared" ref="GM62:IX62" si="19">YEAR(GM46)</f>
        <v>1900</v>
      </c>
      <c r="GN62" s="434">
        <f t="shared" si="19"/>
        <v>1900</v>
      </c>
      <c r="GO62" s="434">
        <f t="shared" si="19"/>
        <v>1900</v>
      </c>
      <c r="GP62" s="434">
        <f t="shared" si="19"/>
        <v>1900</v>
      </c>
      <c r="GQ62" s="434">
        <f t="shared" si="19"/>
        <v>1900</v>
      </c>
      <c r="GR62" s="434">
        <f t="shared" si="19"/>
        <v>1900</v>
      </c>
      <c r="GS62" s="434">
        <f t="shared" si="19"/>
        <v>1900</v>
      </c>
      <c r="GT62" s="434">
        <f t="shared" si="19"/>
        <v>1900</v>
      </c>
      <c r="GU62" s="434">
        <f t="shared" si="19"/>
        <v>1900</v>
      </c>
      <c r="GV62" s="434">
        <f t="shared" si="19"/>
        <v>1900</v>
      </c>
      <c r="GW62" s="434">
        <f t="shared" si="19"/>
        <v>1900</v>
      </c>
      <c r="GX62" s="434">
        <f t="shared" si="19"/>
        <v>1900</v>
      </c>
      <c r="GY62" s="434">
        <f t="shared" si="19"/>
        <v>1900</v>
      </c>
      <c r="GZ62" s="434">
        <f t="shared" si="19"/>
        <v>1900</v>
      </c>
      <c r="HA62" s="434">
        <f t="shared" si="19"/>
        <v>1900</v>
      </c>
      <c r="HB62" s="434">
        <f t="shared" si="19"/>
        <v>1900</v>
      </c>
      <c r="HC62" s="434">
        <f t="shared" si="19"/>
        <v>1900</v>
      </c>
      <c r="HD62" s="434">
        <f t="shared" si="19"/>
        <v>1900</v>
      </c>
      <c r="HE62" s="434">
        <f t="shared" si="19"/>
        <v>1900</v>
      </c>
      <c r="HF62" s="434">
        <f t="shared" si="19"/>
        <v>1900</v>
      </c>
      <c r="HG62" s="434">
        <f t="shared" si="19"/>
        <v>1900</v>
      </c>
      <c r="HH62" s="434">
        <f t="shared" si="19"/>
        <v>1900</v>
      </c>
      <c r="HI62" s="434">
        <f t="shared" si="19"/>
        <v>1900</v>
      </c>
      <c r="HJ62" s="434">
        <f t="shared" si="19"/>
        <v>1900</v>
      </c>
      <c r="HK62" s="434">
        <f t="shared" si="19"/>
        <v>1900</v>
      </c>
      <c r="HL62" s="434">
        <f t="shared" si="19"/>
        <v>1900</v>
      </c>
      <c r="HM62" s="434">
        <f t="shared" si="19"/>
        <v>1900</v>
      </c>
      <c r="HN62" s="434">
        <f t="shared" si="19"/>
        <v>1900</v>
      </c>
      <c r="HO62" s="434">
        <f t="shared" si="19"/>
        <v>1900</v>
      </c>
      <c r="HP62" s="434">
        <f t="shared" si="19"/>
        <v>1900</v>
      </c>
      <c r="HQ62" s="434">
        <f t="shared" si="19"/>
        <v>1900</v>
      </c>
      <c r="HR62" s="434">
        <f t="shared" si="19"/>
        <v>1900</v>
      </c>
      <c r="HS62" s="434">
        <f t="shared" si="19"/>
        <v>1900</v>
      </c>
      <c r="HT62" s="434">
        <f t="shared" si="19"/>
        <v>1900</v>
      </c>
      <c r="HU62" s="434">
        <f t="shared" si="19"/>
        <v>1900</v>
      </c>
      <c r="HV62" s="434">
        <f t="shared" si="19"/>
        <v>1900</v>
      </c>
      <c r="HW62" s="434">
        <f t="shared" si="19"/>
        <v>1900</v>
      </c>
      <c r="HX62" s="434">
        <f t="shared" si="19"/>
        <v>1900</v>
      </c>
      <c r="HY62" s="434">
        <f t="shared" si="19"/>
        <v>1900</v>
      </c>
      <c r="HZ62" s="434">
        <f t="shared" si="19"/>
        <v>1900</v>
      </c>
      <c r="IA62" s="434">
        <f t="shared" si="19"/>
        <v>1900</v>
      </c>
      <c r="IB62" s="434">
        <f t="shared" si="19"/>
        <v>1900</v>
      </c>
      <c r="IC62" s="434">
        <f t="shared" si="19"/>
        <v>1900</v>
      </c>
      <c r="ID62" s="434">
        <f t="shared" si="19"/>
        <v>1900</v>
      </c>
      <c r="IE62" s="434">
        <f t="shared" si="19"/>
        <v>1900</v>
      </c>
      <c r="IF62" s="434">
        <f t="shared" si="19"/>
        <v>1900</v>
      </c>
      <c r="IG62" s="434">
        <f t="shared" si="19"/>
        <v>1900</v>
      </c>
      <c r="IH62" s="434">
        <f t="shared" si="19"/>
        <v>1900</v>
      </c>
      <c r="II62" s="434">
        <f t="shared" si="19"/>
        <v>1900</v>
      </c>
      <c r="IJ62" s="434">
        <f t="shared" si="19"/>
        <v>1900</v>
      </c>
      <c r="IK62" s="434">
        <f t="shared" si="19"/>
        <v>1900</v>
      </c>
      <c r="IL62" s="434">
        <f t="shared" si="19"/>
        <v>1900</v>
      </c>
      <c r="IM62" s="434">
        <f t="shared" si="19"/>
        <v>1900</v>
      </c>
      <c r="IN62" s="434">
        <f t="shared" si="19"/>
        <v>1900</v>
      </c>
      <c r="IO62" s="434">
        <f t="shared" si="19"/>
        <v>1900</v>
      </c>
      <c r="IP62" s="434">
        <f t="shared" si="19"/>
        <v>1900</v>
      </c>
      <c r="IQ62" s="434">
        <f t="shared" si="19"/>
        <v>1900</v>
      </c>
      <c r="IR62" s="434">
        <f t="shared" si="19"/>
        <v>1900</v>
      </c>
      <c r="IS62" s="434">
        <f t="shared" si="19"/>
        <v>1900</v>
      </c>
      <c r="IT62" s="434">
        <f t="shared" si="19"/>
        <v>1900</v>
      </c>
      <c r="IU62" s="434">
        <f t="shared" si="19"/>
        <v>1900</v>
      </c>
      <c r="IV62" s="434">
        <f t="shared" si="19"/>
        <v>1900</v>
      </c>
      <c r="IW62" s="434">
        <f t="shared" si="19"/>
        <v>1900</v>
      </c>
      <c r="IX62" s="434">
        <f t="shared" si="19"/>
        <v>1900</v>
      </c>
      <c r="IY62" s="434">
        <f t="shared" ref="IY62:LJ62" si="20">YEAR(IY46)</f>
        <v>1900</v>
      </c>
      <c r="IZ62" s="434">
        <f t="shared" si="20"/>
        <v>1900</v>
      </c>
      <c r="JA62" s="434">
        <f t="shared" si="20"/>
        <v>1900</v>
      </c>
      <c r="JB62" s="434">
        <f t="shared" si="20"/>
        <v>1900</v>
      </c>
      <c r="JC62" s="434">
        <f t="shared" si="20"/>
        <v>1900</v>
      </c>
      <c r="JD62" s="434">
        <f t="shared" si="20"/>
        <v>1900</v>
      </c>
      <c r="JE62" s="434">
        <f t="shared" si="20"/>
        <v>1900</v>
      </c>
      <c r="JF62" s="434">
        <f t="shared" si="20"/>
        <v>1900</v>
      </c>
      <c r="JG62" s="434">
        <f t="shared" si="20"/>
        <v>1900</v>
      </c>
      <c r="JH62" s="434">
        <f t="shared" si="20"/>
        <v>1900</v>
      </c>
      <c r="JI62" s="434">
        <f t="shared" si="20"/>
        <v>1900</v>
      </c>
      <c r="JJ62" s="434">
        <f t="shared" si="20"/>
        <v>1900</v>
      </c>
      <c r="JK62" s="434">
        <f t="shared" si="20"/>
        <v>1900</v>
      </c>
      <c r="JL62" s="434">
        <f t="shared" si="20"/>
        <v>1900</v>
      </c>
      <c r="JM62" s="434">
        <f t="shared" si="20"/>
        <v>1900</v>
      </c>
      <c r="JN62" s="434">
        <f t="shared" si="20"/>
        <v>1900</v>
      </c>
      <c r="JO62" s="434">
        <f t="shared" si="20"/>
        <v>1900</v>
      </c>
      <c r="JP62" s="434">
        <f t="shared" si="20"/>
        <v>1900</v>
      </c>
      <c r="JQ62" s="434">
        <f t="shared" si="20"/>
        <v>1900</v>
      </c>
      <c r="JR62" s="434">
        <f t="shared" si="20"/>
        <v>1900</v>
      </c>
      <c r="JS62" s="434">
        <f t="shared" si="20"/>
        <v>1900</v>
      </c>
      <c r="JT62" s="434">
        <f t="shared" si="20"/>
        <v>1900</v>
      </c>
      <c r="JU62" s="434">
        <f t="shared" si="20"/>
        <v>1900</v>
      </c>
      <c r="JV62" s="434">
        <f t="shared" si="20"/>
        <v>1900</v>
      </c>
      <c r="JW62" s="434">
        <f t="shared" si="20"/>
        <v>1900</v>
      </c>
      <c r="JX62" s="434">
        <f t="shared" si="20"/>
        <v>1900</v>
      </c>
      <c r="JY62" s="434">
        <f t="shared" si="20"/>
        <v>1900</v>
      </c>
      <c r="JZ62" s="434">
        <f t="shared" si="20"/>
        <v>1900</v>
      </c>
      <c r="KA62" s="434">
        <f t="shared" si="20"/>
        <v>1900</v>
      </c>
      <c r="KB62" s="434">
        <f t="shared" si="20"/>
        <v>1900</v>
      </c>
      <c r="KC62" s="434">
        <f t="shared" si="20"/>
        <v>1900</v>
      </c>
      <c r="KD62" s="434">
        <f t="shared" si="20"/>
        <v>1900</v>
      </c>
      <c r="KE62" s="434">
        <f t="shared" si="20"/>
        <v>1900</v>
      </c>
      <c r="KF62" s="434">
        <f t="shared" si="20"/>
        <v>1900</v>
      </c>
      <c r="KG62" s="434">
        <f t="shared" si="20"/>
        <v>1900</v>
      </c>
      <c r="KH62" s="434">
        <f t="shared" si="20"/>
        <v>1900</v>
      </c>
      <c r="KI62" s="434">
        <f t="shared" si="20"/>
        <v>1900</v>
      </c>
      <c r="KJ62" s="434">
        <f t="shared" si="20"/>
        <v>1900</v>
      </c>
      <c r="KK62" s="434">
        <f t="shared" si="20"/>
        <v>1900</v>
      </c>
      <c r="KL62" s="434">
        <f t="shared" si="20"/>
        <v>1900</v>
      </c>
      <c r="KM62" s="434">
        <f t="shared" si="20"/>
        <v>1900</v>
      </c>
      <c r="KN62" s="434">
        <f t="shared" si="20"/>
        <v>1900</v>
      </c>
      <c r="KO62" s="434">
        <f t="shared" si="20"/>
        <v>1900</v>
      </c>
      <c r="KP62" s="434">
        <f t="shared" si="20"/>
        <v>1900</v>
      </c>
      <c r="KQ62" s="434">
        <f t="shared" si="20"/>
        <v>1900</v>
      </c>
      <c r="KR62" s="434">
        <f t="shared" si="20"/>
        <v>1900</v>
      </c>
      <c r="KS62" s="434">
        <f t="shared" si="20"/>
        <v>1900</v>
      </c>
      <c r="KT62" s="434">
        <f t="shared" si="20"/>
        <v>1900</v>
      </c>
      <c r="KU62" s="434">
        <f t="shared" si="20"/>
        <v>1900</v>
      </c>
      <c r="KV62" s="434">
        <f t="shared" si="20"/>
        <v>1900</v>
      </c>
      <c r="KW62" s="434">
        <f t="shared" si="20"/>
        <v>1900</v>
      </c>
      <c r="KX62" s="434">
        <f t="shared" si="20"/>
        <v>1900</v>
      </c>
      <c r="KY62" s="434">
        <f t="shared" si="20"/>
        <v>1900</v>
      </c>
      <c r="KZ62" s="434">
        <f t="shared" si="20"/>
        <v>1900</v>
      </c>
      <c r="LA62" s="434">
        <f t="shared" si="20"/>
        <v>1900</v>
      </c>
      <c r="LB62" s="434">
        <f t="shared" si="20"/>
        <v>1900</v>
      </c>
      <c r="LC62" s="434">
        <f t="shared" si="20"/>
        <v>1900</v>
      </c>
      <c r="LD62" s="434">
        <f t="shared" si="20"/>
        <v>1900</v>
      </c>
      <c r="LE62" s="434">
        <f t="shared" si="20"/>
        <v>1900</v>
      </c>
      <c r="LF62" s="434">
        <f t="shared" si="20"/>
        <v>1900</v>
      </c>
      <c r="LG62" s="434">
        <f t="shared" si="20"/>
        <v>1900</v>
      </c>
      <c r="LH62" s="434">
        <f t="shared" si="20"/>
        <v>1900</v>
      </c>
      <c r="LI62" s="434">
        <f t="shared" si="20"/>
        <v>1900</v>
      </c>
      <c r="LJ62" s="434">
        <f t="shared" si="20"/>
        <v>1900</v>
      </c>
      <c r="LK62" s="434">
        <f t="shared" ref="LK62:NV62" si="21">YEAR(LK46)</f>
        <v>1900</v>
      </c>
      <c r="LL62" s="434">
        <f t="shared" si="21"/>
        <v>1900</v>
      </c>
      <c r="LM62" s="434">
        <f t="shared" si="21"/>
        <v>1900</v>
      </c>
      <c r="LN62" s="434">
        <f t="shared" si="21"/>
        <v>1900</v>
      </c>
      <c r="LO62" s="434">
        <f t="shared" si="21"/>
        <v>1900</v>
      </c>
      <c r="LP62" s="434">
        <f t="shared" si="21"/>
        <v>1900</v>
      </c>
      <c r="LQ62" s="434">
        <f t="shared" si="21"/>
        <v>1900</v>
      </c>
      <c r="LR62" s="434">
        <f t="shared" si="21"/>
        <v>1900</v>
      </c>
      <c r="LS62" s="434">
        <f t="shared" si="21"/>
        <v>1900</v>
      </c>
      <c r="LT62" s="434">
        <f t="shared" si="21"/>
        <v>1900</v>
      </c>
      <c r="LU62" s="434">
        <f t="shared" si="21"/>
        <v>1900</v>
      </c>
      <c r="LV62" s="434">
        <f t="shared" si="21"/>
        <v>1900</v>
      </c>
      <c r="LW62" s="434">
        <f t="shared" si="21"/>
        <v>1900</v>
      </c>
      <c r="LX62" s="434">
        <f t="shared" si="21"/>
        <v>1900</v>
      </c>
      <c r="LY62" s="434">
        <f t="shared" si="21"/>
        <v>1900</v>
      </c>
      <c r="LZ62" s="434">
        <f t="shared" si="21"/>
        <v>1900</v>
      </c>
      <c r="MA62" s="434">
        <f t="shared" si="21"/>
        <v>1900</v>
      </c>
      <c r="MB62" s="434">
        <f t="shared" si="21"/>
        <v>1900</v>
      </c>
      <c r="MC62" s="434">
        <f t="shared" si="21"/>
        <v>1900</v>
      </c>
      <c r="MD62" s="434">
        <f t="shared" si="21"/>
        <v>1900</v>
      </c>
      <c r="ME62" s="434">
        <f t="shared" si="21"/>
        <v>1900</v>
      </c>
      <c r="MF62" s="434">
        <f t="shared" si="21"/>
        <v>1900</v>
      </c>
      <c r="MG62" s="434">
        <f t="shared" si="21"/>
        <v>1900</v>
      </c>
      <c r="MH62" s="434">
        <f t="shared" si="21"/>
        <v>1900</v>
      </c>
      <c r="MI62" s="434">
        <f t="shared" si="21"/>
        <v>1900</v>
      </c>
      <c r="MJ62" s="434">
        <f t="shared" si="21"/>
        <v>1900</v>
      </c>
      <c r="MK62" s="434">
        <f t="shared" si="21"/>
        <v>1900</v>
      </c>
      <c r="ML62" s="434">
        <f t="shared" si="21"/>
        <v>1900</v>
      </c>
      <c r="MM62" s="434">
        <f t="shared" si="21"/>
        <v>1900</v>
      </c>
      <c r="MN62" s="434">
        <f t="shared" si="21"/>
        <v>1900</v>
      </c>
      <c r="MO62" s="434">
        <f t="shared" si="21"/>
        <v>1900</v>
      </c>
      <c r="MP62" s="434">
        <f t="shared" si="21"/>
        <v>1900</v>
      </c>
      <c r="MQ62" s="434">
        <f t="shared" si="21"/>
        <v>1900</v>
      </c>
      <c r="MR62" s="434">
        <f t="shared" si="21"/>
        <v>1900</v>
      </c>
      <c r="MS62" s="434">
        <f t="shared" si="21"/>
        <v>1900</v>
      </c>
      <c r="MT62" s="434">
        <f t="shared" si="21"/>
        <v>1900</v>
      </c>
      <c r="MU62" s="434">
        <f t="shared" si="21"/>
        <v>1900</v>
      </c>
      <c r="MV62" s="434">
        <f t="shared" si="21"/>
        <v>1900</v>
      </c>
      <c r="MW62" s="434">
        <f t="shared" si="21"/>
        <v>1900</v>
      </c>
      <c r="MX62" s="434">
        <f t="shared" si="21"/>
        <v>1900</v>
      </c>
      <c r="MY62" s="434">
        <f t="shared" si="21"/>
        <v>1900</v>
      </c>
      <c r="MZ62" s="434">
        <f t="shared" si="21"/>
        <v>1900</v>
      </c>
      <c r="NA62" s="434">
        <f t="shared" si="21"/>
        <v>1900</v>
      </c>
      <c r="NB62" s="434">
        <f t="shared" si="21"/>
        <v>1900</v>
      </c>
      <c r="NC62" s="434">
        <f t="shared" si="21"/>
        <v>1900</v>
      </c>
      <c r="ND62" s="434">
        <f t="shared" si="21"/>
        <v>1900</v>
      </c>
      <c r="NE62" s="434">
        <f t="shared" si="21"/>
        <v>1900</v>
      </c>
      <c r="NF62" s="434">
        <f t="shared" si="21"/>
        <v>1900</v>
      </c>
      <c r="NG62" s="434">
        <f t="shared" si="21"/>
        <v>1900</v>
      </c>
      <c r="NH62" s="434">
        <f t="shared" si="21"/>
        <v>1900</v>
      </c>
      <c r="NI62" s="434">
        <f t="shared" si="21"/>
        <v>1900</v>
      </c>
      <c r="NJ62" s="434">
        <f t="shared" si="21"/>
        <v>1900</v>
      </c>
      <c r="NK62" s="434">
        <f t="shared" si="21"/>
        <v>1900</v>
      </c>
      <c r="NL62" s="434">
        <f t="shared" si="21"/>
        <v>1900</v>
      </c>
      <c r="NM62" s="434">
        <f t="shared" si="21"/>
        <v>1900</v>
      </c>
      <c r="NN62" s="434">
        <f t="shared" si="21"/>
        <v>1900</v>
      </c>
      <c r="NO62" s="434">
        <f t="shared" si="21"/>
        <v>1900</v>
      </c>
      <c r="NP62" s="434">
        <f t="shared" si="21"/>
        <v>1900</v>
      </c>
      <c r="NQ62" s="434">
        <f t="shared" si="21"/>
        <v>1900</v>
      </c>
      <c r="NR62" s="434">
        <f t="shared" si="21"/>
        <v>1900</v>
      </c>
      <c r="NS62" s="434">
        <f t="shared" si="21"/>
        <v>1900</v>
      </c>
      <c r="NT62" s="434">
        <f t="shared" si="21"/>
        <v>1900</v>
      </c>
      <c r="NU62" s="434">
        <f t="shared" si="21"/>
        <v>1900</v>
      </c>
      <c r="NV62" s="434">
        <f t="shared" si="21"/>
        <v>1900</v>
      </c>
      <c r="NW62" s="434">
        <f t="shared" ref="NW62:QH62" si="22">YEAR(NW46)</f>
        <v>1900</v>
      </c>
      <c r="NX62" s="434">
        <f t="shared" si="22"/>
        <v>1900</v>
      </c>
      <c r="NY62" s="434">
        <f t="shared" si="22"/>
        <v>1900</v>
      </c>
      <c r="NZ62" s="434">
        <f t="shared" si="22"/>
        <v>1900</v>
      </c>
      <c r="OA62" s="434">
        <f t="shared" si="22"/>
        <v>1900</v>
      </c>
      <c r="OB62" s="434">
        <f t="shared" si="22"/>
        <v>1900</v>
      </c>
      <c r="OC62" s="434">
        <f t="shared" si="22"/>
        <v>1900</v>
      </c>
      <c r="OD62" s="434">
        <f t="shared" si="22"/>
        <v>1900</v>
      </c>
      <c r="OE62" s="434">
        <f t="shared" si="22"/>
        <v>1900</v>
      </c>
      <c r="OF62" s="434">
        <f t="shared" si="22"/>
        <v>1900</v>
      </c>
      <c r="OG62" s="434">
        <f t="shared" si="22"/>
        <v>1900</v>
      </c>
      <c r="OH62" s="434">
        <f t="shared" si="22"/>
        <v>1900</v>
      </c>
      <c r="OI62" s="434">
        <f t="shared" si="22"/>
        <v>1900</v>
      </c>
      <c r="OJ62" s="434">
        <f t="shared" si="22"/>
        <v>1900</v>
      </c>
      <c r="OK62" s="434">
        <f t="shared" si="22"/>
        <v>1900</v>
      </c>
      <c r="OL62" s="434">
        <f t="shared" si="22"/>
        <v>1900</v>
      </c>
      <c r="OM62" s="434">
        <f t="shared" si="22"/>
        <v>1900</v>
      </c>
      <c r="ON62" s="434">
        <f t="shared" si="22"/>
        <v>1900</v>
      </c>
      <c r="OO62" s="434">
        <f t="shared" si="22"/>
        <v>1900</v>
      </c>
      <c r="OP62" s="434">
        <f t="shared" si="22"/>
        <v>1900</v>
      </c>
      <c r="OQ62" s="434">
        <f t="shared" si="22"/>
        <v>1900</v>
      </c>
      <c r="OR62" s="434">
        <f t="shared" si="22"/>
        <v>1900</v>
      </c>
      <c r="OS62" s="434">
        <f t="shared" si="22"/>
        <v>1900</v>
      </c>
      <c r="OT62" s="434">
        <f t="shared" si="22"/>
        <v>1900</v>
      </c>
      <c r="OU62" s="434">
        <f t="shared" si="22"/>
        <v>1900</v>
      </c>
      <c r="OV62" s="434">
        <f t="shared" si="22"/>
        <v>1900</v>
      </c>
      <c r="OW62" s="434">
        <f t="shared" si="22"/>
        <v>1900</v>
      </c>
      <c r="OX62" s="434">
        <f t="shared" si="22"/>
        <v>1900</v>
      </c>
      <c r="OY62" s="434">
        <f t="shared" si="22"/>
        <v>1900</v>
      </c>
      <c r="OZ62" s="434">
        <f t="shared" si="22"/>
        <v>1900</v>
      </c>
      <c r="PA62" s="434">
        <f t="shared" si="22"/>
        <v>1900</v>
      </c>
      <c r="PB62" s="434">
        <f t="shared" si="22"/>
        <v>1900</v>
      </c>
      <c r="PC62" s="434">
        <f t="shared" si="22"/>
        <v>1900</v>
      </c>
      <c r="PD62" s="434">
        <f t="shared" si="22"/>
        <v>1900</v>
      </c>
      <c r="PE62" s="434">
        <f t="shared" si="22"/>
        <v>1900</v>
      </c>
      <c r="PF62" s="434">
        <f t="shared" si="22"/>
        <v>1900</v>
      </c>
      <c r="PG62" s="434">
        <f t="shared" si="22"/>
        <v>1900</v>
      </c>
      <c r="PH62" s="434">
        <f t="shared" si="22"/>
        <v>1900</v>
      </c>
      <c r="PI62" s="434">
        <f t="shared" si="22"/>
        <v>1900</v>
      </c>
      <c r="PJ62" s="434">
        <f t="shared" si="22"/>
        <v>1900</v>
      </c>
      <c r="PK62" s="434">
        <f t="shared" si="22"/>
        <v>1900</v>
      </c>
      <c r="PL62" s="434">
        <f t="shared" si="22"/>
        <v>1900</v>
      </c>
      <c r="PM62" s="434">
        <f t="shared" si="22"/>
        <v>1900</v>
      </c>
      <c r="PN62" s="434">
        <f t="shared" si="22"/>
        <v>1900</v>
      </c>
      <c r="PO62" s="434">
        <f t="shared" si="22"/>
        <v>1900</v>
      </c>
      <c r="PP62" s="434">
        <f t="shared" si="22"/>
        <v>1900</v>
      </c>
      <c r="PQ62" s="434">
        <f t="shared" si="22"/>
        <v>1900</v>
      </c>
      <c r="PR62" s="434">
        <f t="shared" si="22"/>
        <v>1900</v>
      </c>
      <c r="PS62" s="434">
        <f t="shared" si="22"/>
        <v>1900</v>
      </c>
      <c r="PT62" s="434">
        <f t="shared" si="22"/>
        <v>1900</v>
      </c>
      <c r="PU62" s="434">
        <f t="shared" si="22"/>
        <v>1900</v>
      </c>
      <c r="PV62" s="434">
        <f t="shared" si="22"/>
        <v>1900</v>
      </c>
      <c r="PW62" s="434">
        <f t="shared" si="22"/>
        <v>1900</v>
      </c>
      <c r="PX62" s="434">
        <f t="shared" si="22"/>
        <v>1900</v>
      </c>
      <c r="PY62" s="434">
        <f t="shared" si="22"/>
        <v>1900</v>
      </c>
      <c r="PZ62" s="434">
        <f t="shared" si="22"/>
        <v>1900</v>
      </c>
      <c r="QA62" s="434">
        <f t="shared" si="22"/>
        <v>1900</v>
      </c>
      <c r="QB62" s="434">
        <f t="shared" si="22"/>
        <v>1900</v>
      </c>
      <c r="QC62" s="434">
        <f t="shared" si="22"/>
        <v>1900</v>
      </c>
      <c r="QD62" s="434">
        <f t="shared" si="22"/>
        <v>1900</v>
      </c>
      <c r="QE62" s="434">
        <f t="shared" si="22"/>
        <v>1900</v>
      </c>
      <c r="QF62" s="434">
        <f t="shared" si="22"/>
        <v>1900</v>
      </c>
      <c r="QG62" s="434">
        <f t="shared" si="22"/>
        <v>1900</v>
      </c>
      <c r="QH62" s="434">
        <f t="shared" si="22"/>
        <v>1900</v>
      </c>
      <c r="QI62" s="434">
        <f t="shared" ref="QI62:ST62" si="23">YEAR(QI46)</f>
        <v>1900</v>
      </c>
      <c r="QJ62" s="434">
        <f t="shared" si="23"/>
        <v>1900</v>
      </c>
      <c r="QK62" s="434">
        <f t="shared" si="23"/>
        <v>1900</v>
      </c>
      <c r="QL62" s="434">
        <f t="shared" si="23"/>
        <v>1900</v>
      </c>
      <c r="QM62" s="434">
        <f t="shared" si="23"/>
        <v>1900</v>
      </c>
      <c r="QN62" s="434">
        <f t="shared" si="23"/>
        <v>1900</v>
      </c>
      <c r="QO62" s="434">
        <f t="shared" si="23"/>
        <v>1900</v>
      </c>
      <c r="QP62" s="434">
        <f t="shared" si="23"/>
        <v>1900</v>
      </c>
      <c r="QQ62" s="434">
        <f t="shared" si="23"/>
        <v>1900</v>
      </c>
      <c r="QR62" s="434">
        <f t="shared" si="23"/>
        <v>1900</v>
      </c>
      <c r="QS62" s="434">
        <f t="shared" si="23"/>
        <v>1900</v>
      </c>
      <c r="QT62" s="434">
        <f t="shared" si="23"/>
        <v>1900</v>
      </c>
      <c r="QU62" s="434">
        <f t="shared" si="23"/>
        <v>1900</v>
      </c>
      <c r="QV62" s="434">
        <f t="shared" si="23"/>
        <v>1900</v>
      </c>
      <c r="QW62" s="434">
        <f t="shared" si="23"/>
        <v>1900</v>
      </c>
      <c r="QX62" s="434">
        <f t="shared" si="23"/>
        <v>1900</v>
      </c>
      <c r="QY62" s="434">
        <f t="shared" si="23"/>
        <v>1900</v>
      </c>
      <c r="QZ62" s="434">
        <f t="shared" si="23"/>
        <v>1900</v>
      </c>
      <c r="RA62" s="434">
        <f t="shared" si="23"/>
        <v>1900</v>
      </c>
      <c r="RB62" s="434">
        <f t="shared" si="23"/>
        <v>1900</v>
      </c>
      <c r="RC62" s="434">
        <f t="shared" si="23"/>
        <v>1900</v>
      </c>
      <c r="RD62" s="434">
        <f t="shared" si="23"/>
        <v>1900</v>
      </c>
      <c r="RE62" s="434">
        <f t="shared" si="23"/>
        <v>1900</v>
      </c>
      <c r="RF62" s="434">
        <f t="shared" si="23"/>
        <v>1900</v>
      </c>
      <c r="RG62" s="434">
        <f t="shared" si="23"/>
        <v>1900</v>
      </c>
      <c r="RH62" s="434">
        <f t="shared" si="23"/>
        <v>1900</v>
      </c>
      <c r="RI62" s="434">
        <f t="shared" si="23"/>
        <v>1900</v>
      </c>
      <c r="RJ62" s="434">
        <f t="shared" si="23"/>
        <v>1900</v>
      </c>
      <c r="RK62" s="434">
        <f t="shared" si="23"/>
        <v>1900</v>
      </c>
      <c r="RL62" s="434">
        <f t="shared" si="23"/>
        <v>1900</v>
      </c>
      <c r="RM62" s="434">
        <f t="shared" si="23"/>
        <v>1900</v>
      </c>
      <c r="RN62" s="434">
        <f t="shared" si="23"/>
        <v>1900</v>
      </c>
      <c r="RO62" s="434">
        <f t="shared" si="23"/>
        <v>1900</v>
      </c>
      <c r="RP62" s="434">
        <f t="shared" si="23"/>
        <v>1900</v>
      </c>
      <c r="RQ62" s="434">
        <f t="shared" si="23"/>
        <v>1900</v>
      </c>
      <c r="RR62" s="434">
        <f t="shared" si="23"/>
        <v>1900</v>
      </c>
      <c r="RS62" s="434">
        <f t="shared" si="23"/>
        <v>1900</v>
      </c>
      <c r="RT62" s="434">
        <f t="shared" si="23"/>
        <v>1900</v>
      </c>
      <c r="RU62" s="434">
        <f t="shared" si="23"/>
        <v>1900</v>
      </c>
      <c r="RV62" s="434">
        <f t="shared" si="23"/>
        <v>1900</v>
      </c>
      <c r="RW62" s="434">
        <f t="shared" si="23"/>
        <v>1900</v>
      </c>
      <c r="RX62" s="434">
        <f t="shared" si="23"/>
        <v>1900</v>
      </c>
      <c r="RY62" s="434">
        <f t="shared" si="23"/>
        <v>1900</v>
      </c>
      <c r="RZ62" s="434">
        <f t="shared" si="23"/>
        <v>1900</v>
      </c>
      <c r="SA62" s="434">
        <f t="shared" si="23"/>
        <v>1900</v>
      </c>
      <c r="SB62" s="434">
        <f t="shared" si="23"/>
        <v>1900</v>
      </c>
      <c r="SC62" s="434">
        <f t="shared" si="23"/>
        <v>1900</v>
      </c>
      <c r="SD62" s="434">
        <f t="shared" si="23"/>
        <v>1900</v>
      </c>
      <c r="SE62" s="434">
        <f t="shared" si="23"/>
        <v>1900</v>
      </c>
      <c r="SF62" s="434">
        <f t="shared" si="23"/>
        <v>1900</v>
      </c>
      <c r="SG62" s="434">
        <f t="shared" si="23"/>
        <v>1900</v>
      </c>
      <c r="SH62" s="434">
        <f t="shared" si="23"/>
        <v>1900</v>
      </c>
      <c r="SI62" s="434">
        <f t="shared" si="23"/>
        <v>1900</v>
      </c>
      <c r="SJ62" s="434">
        <f t="shared" si="23"/>
        <v>1900</v>
      </c>
      <c r="SK62" s="434">
        <f t="shared" si="23"/>
        <v>1900</v>
      </c>
      <c r="SL62" s="434">
        <f t="shared" si="23"/>
        <v>1900</v>
      </c>
      <c r="SM62" s="434">
        <f t="shared" si="23"/>
        <v>1900</v>
      </c>
      <c r="SN62" s="434">
        <f t="shared" si="23"/>
        <v>1900</v>
      </c>
      <c r="SO62" s="434">
        <f t="shared" si="23"/>
        <v>1900</v>
      </c>
      <c r="SP62" s="434">
        <f t="shared" si="23"/>
        <v>1900</v>
      </c>
      <c r="SQ62" s="434">
        <f t="shared" si="23"/>
        <v>1900</v>
      </c>
      <c r="SR62" s="434">
        <f t="shared" si="23"/>
        <v>1900</v>
      </c>
      <c r="SS62" s="434">
        <f t="shared" si="23"/>
        <v>1900</v>
      </c>
      <c r="ST62" s="434">
        <f t="shared" si="23"/>
        <v>1900</v>
      </c>
      <c r="SU62" s="434">
        <f t="shared" ref="SU62:VF62" si="24">YEAR(SU46)</f>
        <v>1900</v>
      </c>
      <c r="SV62" s="434">
        <f t="shared" si="24"/>
        <v>1900</v>
      </c>
      <c r="SW62" s="434">
        <f t="shared" si="24"/>
        <v>1900</v>
      </c>
      <c r="SX62" s="434">
        <f t="shared" si="24"/>
        <v>1900</v>
      </c>
      <c r="SY62" s="434">
        <f t="shared" si="24"/>
        <v>1900</v>
      </c>
      <c r="SZ62" s="434">
        <f t="shared" si="24"/>
        <v>1900</v>
      </c>
      <c r="TA62" s="434">
        <f t="shared" si="24"/>
        <v>1900</v>
      </c>
      <c r="TB62" s="434">
        <f t="shared" si="24"/>
        <v>1900</v>
      </c>
      <c r="TC62" s="434">
        <f t="shared" si="24"/>
        <v>1900</v>
      </c>
      <c r="TD62" s="434">
        <f t="shared" si="24"/>
        <v>1900</v>
      </c>
      <c r="TE62" s="434">
        <f t="shared" si="24"/>
        <v>1900</v>
      </c>
      <c r="TF62" s="434">
        <f t="shared" si="24"/>
        <v>1900</v>
      </c>
      <c r="TG62" s="434">
        <f t="shared" si="24"/>
        <v>1900</v>
      </c>
      <c r="TH62" s="434">
        <f t="shared" si="24"/>
        <v>1900</v>
      </c>
      <c r="TI62" s="434">
        <f t="shared" si="24"/>
        <v>1900</v>
      </c>
      <c r="TJ62" s="434">
        <f t="shared" si="24"/>
        <v>1900</v>
      </c>
      <c r="TK62" s="434">
        <f t="shared" si="24"/>
        <v>1900</v>
      </c>
      <c r="TL62" s="434">
        <f t="shared" si="24"/>
        <v>1900</v>
      </c>
      <c r="TM62" s="434">
        <f t="shared" si="24"/>
        <v>1900</v>
      </c>
      <c r="TN62" s="434">
        <f t="shared" si="24"/>
        <v>1900</v>
      </c>
      <c r="TO62" s="434">
        <f t="shared" si="24"/>
        <v>1900</v>
      </c>
      <c r="TP62" s="434">
        <f t="shared" si="24"/>
        <v>1900</v>
      </c>
      <c r="TQ62" s="434">
        <f t="shared" si="24"/>
        <v>1900</v>
      </c>
      <c r="TR62" s="434">
        <f t="shared" si="24"/>
        <v>1900</v>
      </c>
      <c r="TS62" s="434">
        <f t="shared" si="24"/>
        <v>1900</v>
      </c>
      <c r="TT62" s="434">
        <f t="shared" si="24"/>
        <v>1900</v>
      </c>
      <c r="TU62" s="434">
        <f t="shared" si="24"/>
        <v>1900</v>
      </c>
      <c r="TV62" s="434">
        <f t="shared" si="24"/>
        <v>1900</v>
      </c>
      <c r="TW62" s="434">
        <f t="shared" si="24"/>
        <v>1900</v>
      </c>
      <c r="TX62" s="434">
        <f t="shared" si="24"/>
        <v>1900</v>
      </c>
      <c r="TY62" s="434">
        <f t="shared" si="24"/>
        <v>1900</v>
      </c>
      <c r="TZ62" s="434">
        <f t="shared" si="24"/>
        <v>1900</v>
      </c>
      <c r="UA62" s="434">
        <f t="shared" si="24"/>
        <v>1900</v>
      </c>
      <c r="UB62" s="434">
        <f t="shared" si="24"/>
        <v>1900</v>
      </c>
      <c r="UC62" s="434">
        <f t="shared" si="24"/>
        <v>1900</v>
      </c>
      <c r="UD62" s="434">
        <f t="shared" si="24"/>
        <v>1900</v>
      </c>
      <c r="UE62" s="434">
        <f t="shared" si="24"/>
        <v>1900</v>
      </c>
      <c r="UF62" s="434">
        <f t="shared" si="24"/>
        <v>1900</v>
      </c>
      <c r="UG62" s="434">
        <f t="shared" si="24"/>
        <v>1900</v>
      </c>
      <c r="UH62" s="434">
        <f t="shared" si="24"/>
        <v>1900</v>
      </c>
      <c r="UI62" s="434">
        <f t="shared" si="24"/>
        <v>1900</v>
      </c>
      <c r="UJ62" s="434">
        <f t="shared" si="24"/>
        <v>1900</v>
      </c>
      <c r="UK62" s="434">
        <f t="shared" si="24"/>
        <v>1900</v>
      </c>
      <c r="UL62" s="434">
        <f t="shared" si="24"/>
        <v>1900</v>
      </c>
      <c r="UM62" s="434">
        <f t="shared" si="24"/>
        <v>1900</v>
      </c>
      <c r="UN62" s="434">
        <f t="shared" si="24"/>
        <v>1900</v>
      </c>
      <c r="UO62" s="434">
        <f t="shared" si="24"/>
        <v>1900</v>
      </c>
      <c r="UP62" s="434">
        <f t="shared" si="24"/>
        <v>1900</v>
      </c>
      <c r="UQ62" s="434">
        <f t="shared" si="24"/>
        <v>1900</v>
      </c>
      <c r="UR62" s="434">
        <f t="shared" si="24"/>
        <v>1900</v>
      </c>
      <c r="US62" s="434">
        <f t="shared" si="24"/>
        <v>1900</v>
      </c>
      <c r="UT62" s="434">
        <f t="shared" si="24"/>
        <v>1900</v>
      </c>
      <c r="UU62" s="434">
        <f t="shared" si="24"/>
        <v>1900</v>
      </c>
      <c r="UV62" s="434">
        <f t="shared" si="24"/>
        <v>1900</v>
      </c>
      <c r="UW62" s="434">
        <f t="shared" si="24"/>
        <v>1900</v>
      </c>
      <c r="UX62" s="434">
        <f t="shared" si="24"/>
        <v>1900</v>
      </c>
      <c r="UY62" s="434">
        <f t="shared" si="24"/>
        <v>1900</v>
      </c>
      <c r="UZ62" s="434">
        <f t="shared" si="24"/>
        <v>1900</v>
      </c>
      <c r="VA62" s="434">
        <f t="shared" si="24"/>
        <v>1900</v>
      </c>
      <c r="VB62" s="434">
        <f t="shared" si="24"/>
        <v>1900</v>
      </c>
      <c r="VC62" s="434">
        <f t="shared" si="24"/>
        <v>1900</v>
      </c>
      <c r="VD62" s="434">
        <f t="shared" si="24"/>
        <v>1900</v>
      </c>
      <c r="VE62" s="434">
        <f t="shared" si="24"/>
        <v>1900</v>
      </c>
      <c r="VF62" s="434">
        <f t="shared" si="24"/>
        <v>1900</v>
      </c>
      <c r="VG62" s="434">
        <f t="shared" ref="VG62:XR62" si="25">YEAR(VG46)</f>
        <v>1900</v>
      </c>
      <c r="VH62" s="434">
        <f t="shared" si="25"/>
        <v>1900</v>
      </c>
      <c r="VI62" s="434">
        <f t="shared" si="25"/>
        <v>1900</v>
      </c>
      <c r="VJ62" s="434">
        <f t="shared" si="25"/>
        <v>1900</v>
      </c>
      <c r="VK62" s="434">
        <f t="shared" si="25"/>
        <v>1900</v>
      </c>
      <c r="VL62" s="434">
        <f t="shared" si="25"/>
        <v>1900</v>
      </c>
      <c r="VM62" s="434">
        <f t="shared" si="25"/>
        <v>1900</v>
      </c>
      <c r="VN62" s="434">
        <f t="shared" si="25"/>
        <v>1900</v>
      </c>
      <c r="VO62" s="434">
        <f t="shared" si="25"/>
        <v>1900</v>
      </c>
      <c r="VP62" s="434">
        <f t="shared" si="25"/>
        <v>1900</v>
      </c>
      <c r="VQ62" s="434">
        <f t="shared" si="25"/>
        <v>1900</v>
      </c>
      <c r="VR62" s="434">
        <f t="shared" si="25"/>
        <v>1900</v>
      </c>
      <c r="VS62" s="434">
        <f t="shared" si="25"/>
        <v>1900</v>
      </c>
      <c r="VT62" s="434">
        <f t="shared" si="25"/>
        <v>1900</v>
      </c>
      <c r="VU62" s="434">
        <f t="shared" si="25"/>
        <v>1900</v>
      </c>
      <c r="VV62" s="434">
        <f t="shared" si="25"/>
        <v>1900</v>
      </c>
      <c r="VW62" s="434">
        <f t="shared" si="25"/>
        <v>1900</v>
      </c>
      <c r="VX62" s="434">
        <f t="shared" si="25"/>
        <v>1900</v>
      </c>
      <c r="VY62" s="434">
        <f t="shared" si="25"/>
        <v>1900</v>
      </c>
      <c r="VZ62" s="434">
        <f t="shared" si="25"/>
        <v>1900</v>
      </c>
      <c r="WA62" s="434">
        <f t="shared" si="25"/>
        <v>1900</v>
      </c>
      <c r="WB62" s="434">
        <f t="shared" si="25"/>
        <v>1900</v>
      </c>
      <c r="WC62" s="434">
        <f t="shared" si="25"/>
        <v>1900</v>
      </c>
      <c r="WD62" s="434">
        <f t="shared" si="25"/>
        <v>1900</v>
      </c>
      <c r="WE62" s="434">
        <f t="shared" si="25"/>
        <v>1900</v>
      </c>
      <c r="WF62" s="434">
        <f t="shared" si="25"/>
        <v>1900</v>
      </c>
      <c r="WG62" s="434">
        <f t="shared" si="25"/>
        <v>1900</v>
      </c>
      <c r="WH62" s="434">
        <f t="shared" si="25"/>
        <v>1900</v>
      </c>
      <c r="WI62" s="434">
        <f t="shared" si="25"/>
        <v>1900</v>
      </c>
      <c r="WJ62" s="434">
        <f t="shared" si="25"/>
        <v>1900</v>
      </c>
      <c r="WK62" s="434">
        <f t="shared" si="25"/>
        <v>1900</v>
      </c>
      <c r="WL62" s="434">
        <f t="shared" si="25"/>
        <v>1900</v>
      </c>
      <c r="WM62" s="434">
        <f t="shared" si="25"/>
        <v>1900</v>
      </c>
      <c r="WN62" s="434">
        <f t="shared" si="25"/>
        <v>1900</v>
      </c>
      <c r="WO62" s="434">
        <f t="shared" si="25"/>
        <v>1900</v>
      </c>
      <c r="WP62" s="434">
        <f t="shared" si="25"/>
        <v>1900</v>
      </c>
      <c r="WQ62" s="434">
        <f t="shared" si="25"/>
        <v>1900</v>
      </c>
      <c r="WR62" s="434">
        <f t="shared" si="25"/>
        <v>1900</v>
      </c>
      <c r="WS62" s="434">
        <f t="shared" si="25"/>
        <v>1900</v>
      </c>
      <c r="WT62" s="434">
        <f t="shared" si="25"/>
        <v>1900</v>
      </c>
      <c r="WU62" s="434">
        <f t="shared" si="25"/>
        <v>1900</v>
      </c>
      <c r="WV62" s="434">
        <f t="shared" si="25"/>
        <v>1900</v>
      </c>
      <c r="WW62" s="434">
        <f t="shared" si="25"/>
        <v>1900</v>
      </c>
      <c r="WX62" s="434">
        <f t="shared" si="25"/>
        <v>1900</v>
      </c>
      <c r="WY62" s="434">
        <f t="shared" si="25"/>
        <v>1900</v>
      </c>
      <c r="WZ62" s="434">
        <f t="shared" si="25"/>
        <v>1900</v>
      </c>
      <c r="XA62" s="434">
        <f t="shared" si="25"/>
        <v>1900</v>
      </c>
      <c r="XB62" s="434">
        <f t="shared" si="25"/>
        <v>1900</v>
      </c>
      <c r="XC62" s="434">
        <f t="shared" si="25"/>
        <v>1900</v>
      </c>
      <c r="XD62" s="434">
        <f t="shared" si="25"/>
        <v>1900</v>
      </c>
      <c r="XE62" s="434">
        <f t="shared" si="25"/>
        <v>1900</v>
      </c>
      <c r="XF62" s="434">
        <f t="shared" si="25"/>
        <v>1900</v>
      </c>
      <c r="XG62" s="434">
        <f t="shared" si="25"/>
        <v>1900</v>
      </c>
      <c r="XH62" s="434">
        <f t="shared" si="25"/>
        <v>1900</v>
      </c>
      <c r="XI62" s="434">
        <f t="shared" si="25"/>
        <v>1900</v>
      </c>
      <c r="XJ62" s="434">
        <f t="shared" si="25"/>
        <v>1900</v>
      </c>
      <c r="XK62" s="434">
        <f t="shared" si="25"/>
        <v>1900</v>
      </c>
      <c r="XL62" s="434">
        <f t="shared" si="25"/>
        <v>1900</v>
      </c>
      <c r="XM62" s="434">
        <f t="shared" si="25"/>
        <v>1900</v>
      </c>
      <c r="XN62" s="434">
        <f t="shared" si="25"/>
        <v>1900</v>
      </c>
      <c r="XO62" s="434">
        <f t="shared" si="25"/>
        <v>1900</v>
      </c>
      <c r="XP62" s="434">
        <f t="shared" si="25"/>
        <v>1900</v>
      </c>
      <c r="XQ62" s="434">
        <f t="shared" si="25"/>
        <v>1900</v>
      </c>
      <c r="XR62" s="434">
        <f t="shared" si="25"/>
        <v>1900</v>
      </c>
      <c r="XS62" s="434">
        <f t="shared" ref="XS62:XX62" si="26">YEAR(XS46)</f>
        <v>1900</v>
      </c>
      <c r="XT62" s="434">
        <f t="shared" si="26"/>
        <v>1900</v>
      </c>
      <c r="XU62" s="434">
        <f t="shared" si="26"/>
        <v>1900</v>
      </c>
      <c r="XV62" s="434">
        <f t="shared" si="26"/>
        <v>1900</v>
      </c>
      <c r="XW62" s="434">
        <f t="shared" si="26"/>
        <v>1900</v>
      </c>
      <c r="XX62" s="434">
        <f t="shared" si="26"/>
        <v>1900</v>
      </c>
    </row>
    <row r="63" spans="1:648" ht="15.75" thickBot="1">
      <c r="A63" s="357" t="s">
        <v>426</v>
      </c>
      <c r="B63" s="434" t="str">
        <f>IF(MONTH(B46)&gt;6,"2","1")</f>
        <v>1</v>
      </c>
      <c r="C63" s="434" t="str">
        <f t="shared" ref="C63:BN63" si="27">IF(MONTH(C46)&gt;6,"2","1")</f>
        <v>1</v>
      </c>
      <c r="D63" s="434" t="str">
        <f t="shared" si="27"/>
        <v>1</v>
      </c>
      <c r="E63" s="434" t="str">
        <f t="shared" si="27"/>
        <v>1</v>
      </c>
      <c r="F63" s="434" t="str">
        <f t="shared" si="27"/>
        <v>1</v>
      </c>
      <c r="G63" s="434" t="str">
        <f t="shared" si="27"/>
        <v>1</v>
      </c>
      <c r="H63" s="434" t="str">
        <f t="shared" si="27"/>
        <v>2</v>
      </c>
      <c r="I63" s="434" t="str">
        <f t="shared" si="27"/>
        <v>2</v>
      </c>
      <c r="J63" s="434" t="str">
        <f t="shared" si="27"/>
        <v>2</v>
      </c>
      <c r="K63" s="434" t="str">
        <f t="shared" si="27"/>
        <v>2</v>
      </c>
      <c r="L63" s="434" t="str">
        <f t="shared" si="27"/>
        <v>2</v>
      </c>
      <c r="M63" s="434" t="str">
        <f t="shared" si="27"/>
        <v>2</v>
      </c>
      <c r="N63" s="434" t="str">
        <f t="shared" si="27"/>
        <v>1</v>
      </c>
      <c r="O63" s="434" t="str">
        <f t="shared" si="27"/>
        <v>1</v>
      </c>
      <c r="P63" s="434" t="str">
        <f t="shared" si="27"/>
        <v>1</v>
      </c>
      <c r="Q63" s="434" t="str">
        <f t="shared" si="27"/>
        <v>1</v>
      </c>
      <c r="R63" s="434" t="str">
        <f t="shared" si="27"/>
        <v>1</v>
      </c>
      <c r="S63" s="434" t="str">
        <f t="shared" si="27"/>
        <v>1</v>
      </c>
      <c r="T63" s="434" t="str">
        <f t="shared" si="27"/>
        <v>2</v>
      </c>
      <c r="U63" s="434" t="str">
        <f t="shared" si="27"/>
        <v>2</v>
      </c>
      <c r="V63" s="434" t="str">
        <f t="shared" si="27"/>
        <v>2</v>
      </c>
      <c r="W63" s="434" t="str">
        <f t="shared" si="27"/>
        <v>2</v>
      </c>
      <c r="X63" s="434" t="str">
        <f t="shared" si="27"/>
        <v>2</v>
      </c>
      <c r="Y63" s="434" t="str">
        <f t="shared" si="27"/>
        <v>2</v>
      </c>
      <c r="Z63" s="434" t="str">
        <f t="shared" si="27"/>
        <v>1</v>
      </c>
      <c r="AA63" s="434" t="str">
        <f t="shared" si="27"/>
        <v>1</v>
      </c>
      <c r="AB63" s="434" t="str">
        <f t="shared" si="27"/>
        <v>1</v>
      </c>
      <c r="AC63" s="434" t="str">
        <f t="shared" si="27"/>
        <v>1</v>
      </c>
      <c r="AD63" s="434" t="str">
        <f t="shared" si="27"/>
        <v>1</v>
      </c>
      <c r="AE63" s="434" t="str">
        <f t="shared" si="27"/>
        <v>1</v>
      </c>
      <c r="AF63" s="434" t="str">
        <f t="shared" si="27"/>
        <v>2</v>
      </c>
      <c r="AG63" s="434" t="str">
        <f t="shared" si="27"/>
        <v>2</v>
      </c>
      <c r="AH63" s="434" t="str">
        <f t="shared" si="27"/>
        <v>2</v>
      </c>
      <c r="AI63" s="434" t="str">
        <f t="shared" si="27"/>
        <v>2</v>
      </c>
      <c r="AJ63" s="434" t="str">
        <f t="shared" si="27"/>
        <v>2</v>
      </c>
      <c r="AK63" s="434" t="str">
        <f t="shared" si="27"/>
        <v>2</v>
      </c>
      <c r="AL63" s="434" t="str">
        <f t="shared" si="27"/>
        <v>1</v>
      </c>
      <c r="AM63" s="434" t="str">
        <f t="shared" si="27"/>
        <v>1</v>
      </c>
      <c r="AN63" s="434" t="str">
        <f t="shared" si="27"/>
        <v>1</v>
      </c>
      <c r="AO63" s="434" t="str">
        <f t="shared" si="27"/>
        <v>1</v>
      </c>
      <c r="AP63" s="434" t="str">
        <f t="shared" si="27"/>
        <v>1</v>
      </c>
      <c r="AQ63" s="434" t="str">
        <f t="shared" si="27"/>
        <v>1</v>
      </c>
      <c r="AR63" s="434" t="str">
        <f t="shared" si="27"/>
        <v>2</v>
      </c>
      <c r="AS63" s="434" t="str">
        <f t="shared" si="27"/>
        <v>2</v>
      </c>
      <c r="AT63" s="434" t="str">
        <f t="shared" si="27"/>
        <v>2</v>
      </c>
      <c r="AU63" s="434" t="str">
        <f t="shared" si="27"/>
        <v>2</v>
      </c>
      <c r="AV63" s="434" t="str">
        <f t="shared" si="27"/>
        <v>2</v>
      </c>
      <c r="AW63" s="434" t="str">
        <f t="shared" si="27"/>
        <v>2</v>
      </c>
      <c r="AX63" s="434" t="str">
        <f t="shared" si="27"/>
        <v>1</v>
      </c>
      <c r="AY63" s="434" t="str">
        <f t="shared" si="27"/>
        <v>1</v>
      </c>
      <c r="AZ63" s="434" t="str">
        <f t="shared" si="27"/>
        <v>1</v>
      </c>
      <c r="BA63" s="434" t="str">
        <f t="shared" si="27"/>
        <v>1</v>
      </c>
      <c r="BB63" s="434" t="str">
        <f t="shared" si="27"/>
        <v>1</v>
      </c>
      <c r="BC63" s="434" t="str">
        <f t="shared" si="27"/>
        <v>1</v>
      </c>
      <c r="BD63" s="434" t="str">
        <f t="shared" si="27"/>
        <v>2</v>
      </c>
      <c r="BE63" s="434" t="str">
        <f t="shared" si="27"/>
        <v>2</v>
      </c>
      <c r="BF63" s="434" t="str">
        <f t="shared" si="27"/>
        <v>2</v>
      </c>
      <c r="BG63" s="434" t="str">
        <f t="shared" si="27"/>
        <v>2</v>
      </c>
      <c r="BH63" s="434" t="str">
        <f t="shared" si="27"/>
        <v>2</v>
      </c>
      <c r="BI63" s="434" t="str">
        <f t="shared" si="27"/>
        <v>2</v>
      </c>
      <c r="BJ63" s="434" t="str">
        <f t="shared" si="27"/>
        <v>1</v>
      </c>
      <c r="BK63" s="434" t="str">
        <f t="shared" si="27"/>
        <v>1</v>
      </c>
      <c r="BL63" s="434" t="str">
        <f t="shared" si="27"/>
        <v>1</v>
      </c>
      <c r="BM63" s="434" t="str">
        <f t="shared" si="27"/>
        <v>1</v>
      </c>
      <c r="BN63" s="434" t="str">
        <f t="shared" si="27"/>
        <v>1</v>
      </c>
      <c r="BO63" s="434" t="str">
        <f t="shared" ref="BO63:DZ63" si="28">IF(MONTH(BO46)&gt;6,"2","1")</f>
        <v>1</v>
      </c>
      <c r="BP63" s="434" t="str">
        <f t="shared" si="28"/>
        <v>2</v>
      </c>
      <c r="BQ63" s="434" t="str">
        <f t="shared" si="28"/>
        <v>2</v>
      </c>
      <c r="BR63" s="434" t="str">
        <f t="shared" si="28"/>
        <v>2</v>
      </c>
      <c r="BS63" s="434" t="str">
        <f t="shared" si="28"/>
        <v>2</v>
      </c>
      <c r="BT63" s="434" t="str">
        <f t="shared" si="28"/>
        <v>2</v>
      </c>
      <c r="BU63" s="434" t="str">
        <f t="shared" si="28"/>
        <v>2</v>
      </c>
      <c r="BV63" s="434" t="str">
        <f t="shared" si="28"/>
        <v>1</v>
      </c>
      <c r="BW63" s="434" t="str">
        <f t="shared" si="28"/>
        <v>1</v>
      </c>
      <c r="BX63" s="434" t="str">
        <f t="shared" si="28"/>
        <v>1</v>
      </c>
      <c r="BY63" s="434" t="str">
        <f t="shared" si="28"/>
        <v>1</v>
      </c>
      <c r="BZ63" s="434" t="str">
        <f t="shared" si="28"/>
        <v>1</v>
      </c>
      <c r="CA63" s="434" t="str">
        <f t="shared" si="28"/>
        <v>1</v>
      </c>
      <c r="CB63" s="434" t="str">
        <f t="shared" si="28"/>
        <v>2</v>
      </c>
      <c r="CC63" s="434" t="str">
        <f t="shared" si="28"/>
        <v>2</v>
      </c>
      <c r="CD63" s="434" t="str">
        <f t="shared" si="28"/>
        <v>2</v>
      </c>
      <c r="CE63" s="434" t="str">
        <f t="shared" si="28"/>
        <v>2</v>
      </c>
      <c r="CF63" s="434" t="str">
        <f t="shared" si="28"/>
        <v>2</v>
      </c>
      <c r="CG63" s="434" t="str">
        <f t="shared" si="28"/>
        <v>2</v>
      </c>
      <c r="CH63" s="434" t="str">
        <f t="shared" si="28"/>
        <v>1</v>
      </c>
      <c r="CI63" s="434" t="str">
        <f t="shared" si="28"/>
        <v>1</v>
      </c>
      <c r="CJ63" s="434" t="str">
        <f t="shared" si="28"/>
        <v>1</v>
      </c>
      <c r="CK63" s="434" t="str">
        <f t="shared" si="28"/>
        <v>1</v>
      </c>
      <c r="CL63" s="434" t="str">
        <f t="shared" si="28"/>
        <v>1</v>
      </c>
      <c r="CM63" s="434" t="str">
        <f t="shared" si="28"/>
        <v>1</v>
      </c>
      <c r="CN63" s="434" t="str">
        <f t="shared" si="28"/>
        <v>2</v>
      </c>
      <c r="CO63" s="434" t="str">
        <f t="shared" si="28"/>
        <v>2</v>
      </c>
      <c r="CP63" s="434" t="str">
        <f t="shared" si="28"/>
        <v>2</v>
      </c>
      <c r="CQ63" s="434" t="str">
        <f t="shared" si="28"/>
        <v>2</v>
      </c>
      <c r="CR63" s="434" t="str">
        <f t="shared" si="28"/>
        <v>2</v>
      </c>
      <c r="CS63" s="434" t="str">
        <f t="shared" si="28"/>
        <v>2</v>
      </c>
      <c r="CT63" s="434" t="str">
        <f t="shared" si="28"/>
        <v>1</v>
      </c>
      <c r="CU63" s="434" t="str">
        <f t="shared" si="28"/>
        <v>1</v>
      </c>
      <c r="CV63" s="434" t="str">
        <f t="shared" si="28"/>
        <v>1</v>
      </c>
      <c r="CW63" s="434" t="str">
        <f t="shared" si="28"/>
        <v>1</v>
      </c>
      <c r="CX63" s="434" t="str">
        <f t="shared" si="28"/>
        <v>1</v>
      </c>
      <c r="CY63" s="434" t="str">
        <f t="shared" si="28"/>
        <v>1</v>
      </c>
      <c r="CZ63" s="434" t="str">
        <f t="shared" si="28"/>
        <v>2</v>
      </c>
      <c r="DA63" s="434" t="str">
        <f t="shared" si="28"/>
        <v>2</v>
      </c>
      <c r="DB63" s="434" t="str">
        <f t="shared" si="28"/>
        <v>2</v>
      </c>
      <c r="DC63" s="434" t="str">
        <f t="shared" si="28"/>
        <v>2</v>
      </c>
      <c r="DD63" s="434" t="str">
        <f t="shared" si="28"/>
        <v>2</v>
      </c>
      <c r="DE63" s="434" t="str">
        <f t="shared" si="28"/>
        <v>2</v>
      </c>
      <c r="DF63" s="434" t="str">
        <f t="shared" si="28"/>
        <v>1</v>
      </c>
      <c r="DG63" s="434" t="str">
        <f t="shared" si="28"/>
        <v>1</v>
      </c>
      <c r="DH63" s="434" t="str">
        <f t="shared" si="28"/>
        <v>1</v>
      </c>
      <c r="DI63" s="434" t="str">
        <f t="shared" si="28"/>
        <v>1</v>
      </c>
      <c r="DJ63" s="434" t="str">
        <f t="shared" si="28"/>
        <v>1</v>
      </c>
      <c r="DK63" s="434" t="str">
        <f t="shared" si="28"/>
        <v>1</v>
      </c>
      <c r="DL63" s="434" t="str">
        <f t="shared" si="28"/>
        <v>2</v>
      </c>
      <c r="DM63" s="434" t="str">
        <f t="shared" si="28"/>
        <v>2</v>
      </c>
      <c r="DN63" s="434" t="str">
        <f t="shared" si="28"/>
        <v>2</v>
      </c>
      <c r="DO63" s="434" t="str">
        <f t="shared" si="28"/>
        <v>2</v>
      </c>
      <c r="DP63" s="434" t="str">
        <f t="shared" si="28"/>
        <v>2</v>
      </c>
      <c r="DQ63" s="434" t="str">
        <f t="shared" si="28"/>
        <v>2</v>
      </c>
      <c r="DR63" s="434" t="str">
        <f t="shared" si="28"/>
        <v>1</v>
      </c>
      <c r="DS63" s="434" t="str">
        <f t="shared" si="28"/>
        <v>1</v>
      </c>
      <c r="DT63" s="434" t="str">
        <f t="shared" si="28"/>
        <v>1</v>
      </c>
      <c r="DU63" s="434" t="str">
        <f t="shared" si="28"/>
        <v>1</v>
      </c>
      <c r="DV63" s="434" t="str">
        <f t="shared" si="28"/>
        <v>1</v>
      </c>
      <c r="DW63" s="434" t="str">
        <f t="shared" si="28"/>
        <v>1</v>
      </c>
      <c r="DX63" s="434" t="str">
        <f t="shared" si="28"/>
        <v>2</v>
      </c>
      <c r="DY63" s="434" t="str">
        <f t="shared" si="28"/>
        <v>2</v>
      </c>
      <c r="DZ63" s="434" t="str">
        <f t="shared" si="28"/>
        <v>2</v>
      </c>
      <c r="EA63" s="434" t="str">
        <f t="shared" ref="EA63:GL63" si="29">IF(MONTH(EA46)&gt;6,"2","1")</f>
        <v>2</v>
      </c>
      <c r="EB63" s="434" t="str">
        <f t="shared" si="29"/>
        <v>2</v>
      </c>
      <c r="EC63" s="434" t="str">
        <f t="shared" si="29"/>
        <v>2</v>
      </c>
      <c r="ED63" s="434" t="str">
        <f t="shared" si="29"/>
        <v>1</v>
      </c>
      <c r="EE63" s="434" t="str">
        <f t="shared" si="29"/>
        <v>1</v>
      </c>
      <c r="EF63" s="434" t="str">
        <f t="shared" si="29"/>
        <v>1</v>
      </c>
      <c r="EG63" s="434" t="str">
        <f t="shared" si="29"/>
        <v>1</v>
      </c>
      <c r="EH63" s="434" t="str">
        <f t="shared" si="29"/>
        <v>1</v>
      </c>
      <c r="EI63" s="434" t="str">
        <f t="shared" si="29"/>
        <v>1</v>
      </c>
      <c r="EJ63" s="434" t="str">
        <f t="shared" si="29"/>
        <v>2</v>
      </c>
      <c r="EK63" s="434" t="str">
        <f t="shared" si="29"/>
        <v>2</v>
      </c>
      <c r="EL63" s="434" t="str">
        <f t="shared" si="29"/>
        <v>2</v>
      </c>
      <c r="EM63" s="434" t="str">
        <f t="shared" si="29"/>
        <v>2</v>
      </c>
      <c r="EN63" s="434" t="str">
        <f t="shared" si="29"/>
        <v>2</v>
      </c>
      <c r="EO63" s="434" t="str">
        <f t="shared" si="29"/>
        <v>2</v>
      </c>
      <c r="EP63" s="434" t="str">
        <f t="shared" si="29"/>
        <v>1</v>
      </c>
      <c r="EQ63" s="434" t="str">
        <f t="shared" si="29"/>
        <v>1</v>
      </c>
      <c r="ER63" s="434" t="str">
        <f t="shared" si="29"/>
        <v>1</v>
      </c>
      <c r="ES63" s="434" t="str">
        <f t="shared" si="29"/>
        <v>1</v>
      </c>
      <c r="ET63" s="434" t="str">
        <f t="shared" si="29"/>
        <v>1</v>
      </c>
      <c r="EU63" s="434" t="str">
        <f t="shared" si="29"/>
        <v>1</v>
      </c>
      <c r="EV63" s="434" t="str">
        <f t="shared" si="29"/>
        <v>2</v>
      </c>
      <c r="EW63" s="434" t="str">
        <f t="shared" si="29"/>
        <v>2</v>
      </c>
      <c r="EX63" s="434" t="str">
        <f t="shared" si="29"/>
        <v>2</v>
      </c>
      <c r="EY63" s="434" t="str">
        <f t="shared" si="29"/>
        <v>2</v>
      </c>
      <c r="EZ63" s="434" t="str">
        <f t="shared" si="29"/>
        <v>2</v>
      </c>
      <c r="FA63" s="434" t="str">
        <f t="shared" si="29"/>
        <v>2</v>
      </c>
      <c r="FB63" s="434" t="str">
        <f t="shared" si="29"/>
        <v>1</v>
      </c>
      <c r="FC63" s="434" t="str">
        <f t="shared" si="29"/>
        <v>1</v>
      </c>
      <c r="FD63" s="434" t="str">
        <f t="shared" si="29"/>
        <v>1</v>
      </c>
      <c r="FE63" s="434" t="str">
        <f t="shared" si="29"/>
        <v>1</v>
      </c>
      <c r="FF63" s="434" t="str">
        <f t="shared" si="29"/>
        <v>1</v>
      </c>
      <c r="FG63" s="434" t="str">
        <f t="shared" si="29"/>
        <v>1</v>
      </c>
      <c r="FH63" s="434" t="str">
        <f t="shared" si="29"/>
        <v>2</v>
      </c>
      <c r="FI63" s="434" t="str">
        <f t="shared" si="29"/>
        <v>2</v>
      </c>
      <c r="FJ63" s="434" t="str">
        <f t="shared" si="29"/>
        <v>2</v>
      </c>
      <c r="FK63" s="434" t="str">
        <f t="shared" si="29"/>
        <v>2</v>
      </c>
      <c r="FL63" s="434" t="str">
        <f t="shared" si="29"/>
        <v>2</v>
      </c>
      <c r="FM63" s="434" t="str">
        <f t="shared" si="29"/>
        <v>2</v>
      </c>
      <c r="FN63" s="434" t="str">
        <f t="shared" si="29"/>
        <v>1</v>
      </c>
      <c r="FO63" s="434" t="str">
        <f t="shared" si="29"/>
        <v>1</v>
      </c>
      <c r="FP63" s="434" t="str">
        <f t="shared" si="29"/>
        <v>1</v>
      </c>
      <c r="FQ63" s="434" t="str">
        <f t="shared" si="29"/>
        <v>1</v>
      </c>
      <c r="FR63" s="434" t="str">
        <f t="shared" si="29"/>
        <v>1</v>
      </c>
      <c r="FS63" s="434" t="str">
        <f t="shared" si="29"/>
        <v>1</v>
      </c>
      <c r="FT63" s="434" t="str">
        <f t="shared" si="29"/>
        <v>2</v>
      </c>
      <c r="FU63" s="434" t="str">
        <f t="shared" si="29"/>
        <v>2</v>
      </c>
      <c r="FV63" s="434" t="str">
        <f t="shared" si="29"/>
        <v>2</v>
      </c>
      <c r="FW63" s="434" t="str">
        <f t="shared" si="29"/>
        <v>2</v>
      </c>
      <c r="FX63" s="434" t="str">
        <f t="shared" si="29"/>
        <v>2</v>
      </c>
      <c r="FY63" s="434" t="str">
        <f t="shared" si="29"/>
        <v>2</v>
      </c>
      <c r="FZ63" s="434" t="str">
        <f t="shared" si="29"/>
        <v>1</v>
      </c>
      <c r="GA63" s="434" t="str">
        <f t="shared" si="29"/>
        <v>1</v>
      </c>
      <c r="GB63" s="434" t="str">
        <f t="shared" si="29"/>
        <v>1</v>
      </c>
      <c r="GC63" s="434" t="str">
        <f t="shared" si="29"/>
        <v>1</v>
      </c>
      <c r="GD63" s="434" t="str">
        <f t="shared" si="29"/>
        <v>1</v>
      </c>
      <c r="GE63" s="434" t="str">
        <f t="shared" si="29"/>
        <v>1</v>
      </c>
      <c r="GF63" s="434" t="str">
        <f t="shared" si="29"/>
        <v>2</v>
      </c>
      <c r="GG63" s="434" t="str">
        <f t="shared" si="29"/>
        <v>2</v>
      </c>
      <c r="GH63" s="434" t="str">
        <f t="shared" si="29"/>
        <v>2</v>
      </c>
      <c r="GI63" s="434" t="str">
        <f t="shared" si="29"/>
        <v>2</v>
      </c>
      <c r="GJ63" s="434" t="str">
        <f t="shared" si="29"/>
        <v>2</v>
      </c>
      <c r="GK63" s="434" t="str">
        <f t="shared" si="29"/>
        <v>2</v>
      </c>
      <c r="GL63" s="434" t="str">
        <f t="shared" si="29"/>
        <v>1</v>
      </c>
      <c r="GM63" s="434" t="str">
        <f t="shared" ref="GM63:IX63" si="30">IF(MONTH(GM46)&gt;6,"2","1")</f>
        <v>1</v>
      </c>
      <c r="GN63" s="434" t="str">
        <f t="shared" si="30"/>
        <v>1</v>
      </c>
      <c r="GO63" s="434" t="str">
        <f t="shared" si="30"/>
        <v>1</v>
      </c>
      <c r="GP63" s="434" t="str">
        <f t="shared" si="30"/>
        <v>1</v>
      </c>
      <c r="GQ63" s="434" t="str">
        <f t="shared" si="30"/>
        <v>1</v>
      </c>
      <c r="GR63" s="434" t="str">
        <f t="shared" si="30"/>
        <v>1</v>
      </c>
      <c r="GS63" s="434" t="str">
        <f t="shared" si="30"/>
        <v>1</v>
      </c>
      <c r="GT63" s="434" t="str">
        <f t="shared" si="30"/>
        <v>1</v>
      </c>
      <c r="GU63" s="434" t="str">
        <f t="shared" si="30"/>
        <v>1</v>
      </c>
      <c r="GV63" s="434" t="str">
        <f t="shared" si="30"/>
        <v>1</v>
      </c>
      <c r="GW63" s="434" t="str">
        <f t="shared" si="30"/>
        <v>1</v>
      </c>
      <c r="GX63" s="434" t="str">
        <f t="shared" si="30"/>
        <v>1</v>
      </c>
      <c r="GY63" s="434" t="str">
        <f t="shared" si="30"/>
        <v>1</v>
      </c>
      <c r="GZ63" s="434" t="str">
        <f t="shared" si="30"/>
        <v>1</v>
      </c>
      <c r="HA63" s="434" t="str">
        <f t="shared" si="30"/>
        <v>1</v>
      </c>
      <c r="HB63" s="434" t="str">
        <f t="shared" si="30"/>
        <v>1</v>
      </c>
      <c r="HC63" s="434" t="str">
        <f t="shared" si="30"/>
        <v>1</v>
      </c>
      <c r="HD63" s="434" t="str">
        <f t="shared" si="30"/>
        <v>1</v>
      </c>
      <c r="HE63" s="434" t="str">
        <f t="shared" si="30"/>
        <v>1</v>
      </c>
      <c r="HF63" s="434" t="str">
        <f t="shared" si="30"/>
        <v>1</v>
      </c>
      <c r="HG63" s="434" t="str">
        <f t="shared" si="30"/>
        <v>1</v>
      </c>
      <c r="HH63" s="434" t="str">
        <f t="shared" si="30"/>
        <v>1</v>
      </c>
      <c r="HI63" s="434" t="str">
        <f t="shared" si="30"/>
        <v>1</v>
      </c>
      <c r="HJ63" s="434" t="str">
        <f t="shared" si="30"/>
        <v>1</v>
      </c>
      <c r="HK63" s="434" t="str">
        <f t="shared" si="30"/>
        <v>1</v>
      </c>
      <c r="HL63" s="434" t="str">
        <f t="shared" si="30"/>
        <v>1</v>
      </c>
      <c r="HM63" s="434" t="str">
        <f t="shared" si="30"/>
        <v>1</v>
      </c>
      <c r="HN63" s="434" t="str">
        <f t="shared" si="30"/>
        <v>1</v>
      </c>
      <c r="HO63" s="434" t="str">
        <f t="shared" si="30"/>
        <v>1</v>
      </c>
      <c r="HP63" s="434" t="str">
        <f t="shared" si="30"/>
        <v>1</v>
      </c>
      <c r="HQ63" s="434" t="str">
        <f t="shared" si="30"/>
        <v>1</v>
      </c>
      <c r="HR63" s="434" t="str">
        <f t="shared" si="30"/>
        <v>1</v>
      </c>
      <c r="HS63" s="434" t="str">
        <f t="shared" si="30"/>
        <v>1</v>
      </c>
      <c r="HT63" s="434" t="str">
        <f t="shared" si="30"/>
        <v>1</v>
      </c>
      <c r="HU63" s="434" t="str">
        <f t="shared" si="30"/>
        <v>1</v>
      </c>
      <c r="HV63" s="434" t="str">
        <f t="shared" si="30"/>
        <v>1</v>
      </c>
      <c r="HW63" s="434" t="str">
        <f t="shared" si="30"/>
        <v>1</v>
      </c>
      <c r="HX63" s="434" t="str">
        <f t="shared" si="30"/>
        <v>1</v>
      </c>
      <c r="HY63" s="434" t="str">
        <f t="shared" si="30"/>
        <v>1</v>
      </c>
      <c r="HZ63" s="434" t="str">
        <f t="shared" si="30"/>
        <v>1</v>
      </c>
      <c r="IA63" s="434" t="str">
        <f t="shared" si="30"/>
        <v>1</v>
      </c>
      <c r="IB63" s="434" t="str">
        <f t="shared" si="30"/>
        <v>1</v>
      </c>
      <c r="IC63" s="434" t="str">
        <f t="shared" si="30"/>
        <v>1</v>
      </c>
      <c r="ID63" s="434" t="str">
        <f t="shared" si="30"/>
        <v>1</v>
      </c>
      <c r="IE63" s="434" t="str">
        <f t="shared" si="30"/>
        <v>1</v>
      </c>
      <c r="IF63" s="434" t="str">
        <f t="shared" si="30"/>
        <v>1</v>
      </c>
      <c r="IG63" s="434" t="str">
        <f t="shared" si="30"/>
        <v>1</v>
      </c>
      <c r="IH63" s="434" t="str">
        <f t="shared" si="30"/>
        <v>1</v>
      </c>
      <c r="II63" s="434" t="str">
        <f t="shared" si="30"/>
        <v>1</v>
      </c>
      <c r="IJ63" s="434" t="str">
        <f t="shared" si="30"/>
        <v>1</v>
      </c>
      <c r="IK63" s="434" t="str">
        <f t="shared" si="30"/>
        <v>1</v>
      </c>
      <c r="IL63" s="434" t="str">
        <f t="shared" si="30"/>
        <v>1</v>
      </c>
      <c r="IM63" s="434" t="str">
        <f t="shared" si="30"/>
        <v>1</v>
      </c>
      <c r="IN63" s="434" t="str">
        <f t="shared" si="30"/>
        <v>1</v>
      </c>
      <c r="IO63" s="434" t="str">
        <f t="shared" si="30"/>
        <v>1</v>
      </c>
      <c r="IP63" s="434" t="str">
        <f t="shared" si="30"/>
        <v>1</v>
      </c>
      <c r="IQ63" s="434" t="str">
        <f t="shared" si="30"/>
        <v>1</v>
      </c>
      <c r="IR63" s="434" t="str">
        <f t="shared" si="30"/>
        <v>1</v>
      </c>
      <c r="IS63" s="434" t="str">
        <f t="shared" si="30"/>
        <v>1</v>
      </c>
      <c r="IT63" s="434" t="str">
        <f t="shared" si="30"/>
        <v>1</v>
      </c>
      <c r="IU63" s="434" t="str">
        <f t="shared" si="30"/>
        <v>1</v>
      </c>
      <c r="IV63" s="434" t="str">
        <f t="shared" si="30"/>
        <v>1</v>
      </c>
      <c r="IW63" s="434" t="str">
        <f t="shared" si="30"/>
        <v>1</v>
      </c>
      <c r="IX63" s="434" t="str">
        <f t="shared" si="30"/>
        <v>1</v>
      </c>
      <c r="IY63" s="434" t="str">
        <f t="shared" ref="IY63:LJ63" si="31">IF(MONTH(IY46)&gt;6,"2","1")</f>
        <v>1</v>
      </c>
      <c r="IZ63" s="434" t="str">
        <f t="shared" si="31"/>
        <v>1</v>
      </c>
      <c r="JA63" s="434" t="str">
        <f t="shared" si="31"/>
        <v>1</v>
      </c>
      <c r="JB63" s="434" t="str">
        <f t="shared" si="31"/>
        <v>1</v>
      </c>
      <c r="JC63" s="434" t="str">
        <f t="shared" si="31"/>
        <v>1</v>
      </c>
      <c r="JD63" s="434" t="str">
        <f t="shared" si="31"/>
        <v>1</v>
      </c>
      <c r="JE63" s="434" t="str">
        <f t="shared" si="31"/>
        <v>1</v>
      </c>
      <c r="JF63" s="434" t="str">
        <f t="shared" si="31"/>
        <v>1</v>
      </c>
      <c r="JG63" s="434" t="str">
        <f t="shared" si="31"/>
        <v>1</v>
      </c>
      <c r="JH63" s="434" t="str">
        <f t="shared" si="31"/>
        <v>1</v>
      </c>
      <c r="JI63" s="434" t="str">
        <f t="shared" si="31"/>
        <v>1</v>
      </c>
      <c r="JJ63" s="434" t="str">
        <f t="shared" si="31"/>
        <v>1</v>
      </c>
      <c r="JK63" s="434" t="str">
        <f t="shared" si="31"/>
        <v>1</v>
      </c>
      <c r="JL63" s="434" t="str">
        <f t="shared" si="31"/>
        <v>1</v>
      </c>
      <c r="JM63" s="434" t="str">
        <f t="shared" si="31"/>
        <v>1</v>
      </c>
      <c r="JN63" s="434" t="str">
        <f t="shared" si="31"/>
        <v>1</v>
      </c>
      <c r="JO63" s="434" t="str">
        <f t="shared" si="31"/>
        <v>1</v>
      </c>
      <c r="JP63" s="434" t="str">
        <f t="shared" si="31"/>
        <v>1</v>
      </c>
      <c r="JQ63" s="434" t="str">
        <f t="shared" si="31"/>
        <v>1</v>
      </c>
      <c r="JR63" s="434" t="str">
        <f t="shared" si="31"/>
        <v>1</v>
      </c>
      <c r="JS63" s="434" t="str">
        <f t="shared" si="31"/>
        <v>1</v>
      </c>
      <c r="JT63" s="434" t="str">
        <f t="shared" si="31"/>
        <v>1</v>
      </c>
      <c r="JU63" s="434" t="str">
        <f t="shared" si="31"/>
        <v>1</v>
      </c>
      <c r="JV63" s="434" t="str">
        <f t="shared" si="31"/>
        <v>1</v>
      </c>
      <c r="JW63" s="434" t="str">
        <f t="shared" si="31"/>
        <v>1</v>
      </c>
      <c r="JX63" s="434" t="str">
        <f t="shared" si="31"/>
        <v>1</v>
      </c>
      <c r="JY63" s="434" t="str">
        <f t="shared" si="31"/>
        <v>1</v>
      </c>
      <c r="JZ63" s="434" t="str">
        <f t="shared" si="31"/>
        <v>1</v>
      </c>
      <c r="KA63" s="434" t="str">
        <f t="shared" si="31"/>
        <v>1</v>
      </c>
      <c r="KB63" s="434" t="str">
        <f t="shared" si="31"/>
        <v>1</v>
      </c>
      <c r="KC63" s="434" t="str">
        <f t="shared" si="31"/>
        <v>1</v>
      </c>
      <c r="KD63" s="434" t="str">
        <f t="shared" si="31"/>
        <v>1</v>
      </c>
      <c r="KE63" s="434" t="str">
        <f t="shared" si="31"/>
        <v>1</v>
      </c>
      <c r="KF63" s="434" t="str">
        <f t="shared" si="31"/>
        <v>1</v>
      </c>
      <c r="KG63" s="434" t="str">
        <f t="shared" si="31"/>
        <v>1</v>
      </c>
      <c r="KH63" s="434" t="str">
        <f t="shared" si="31"/>
        <v>1</v>
      </c>
      <c r="KI63" s="434" t="str">
        <f t="shared" si="31"/>
        <v>1</v>
      </c>
      <c r="KJ63" s="434" t="str">
        <f t="shared" si="31"/>
        <v>1</v>
      </c>
      <c r="KK63" s="434" t="str">
        <f t="shared" si="31"/>
        <v>1</v>
      </c>
      <c r="KL63" s="434" t="str">
        <f t="shared" si="31"/>
        <v>1</v>
      </c>
      <c r="KM63" s="434" t="str">
        <f t="shared" si="31"/>
        <v>1</v>
      </c>
      <c r="KN63" s="434" t="str">
        <f t="shared" si="31"/>
        <v>1</v>
      </c>
      <c r="KO63" s="434" t="str">
        <f t="shared" si="31"/>
        <v>1</v>
      </c>
      <c r="KP63" s="434" t="str">
        <f t="shared" si="31"/>
        <v>1</v>
      </c>
      <c r="KQ63" s="434" t="str">
        <f t="shared" si="31"/>
        <v>1</v>
      </c>
      <c r="KR63" s="434" t="str">
        <f t="shared" si="31"/>
        <v>1</v>
      </c>
      <c r="KS63" s="434" t="str">
        <f t="shared" si="31"/>
        <v>1</v>
      </c>
      <c r="KT63" s="434" t="str">
        <f t="shared" si="31"/>
        <v>1</v>
      </c>
      <c r="KU63" s="434" t="str">
        <f t="shared" si="31"/>
        <v>1</v>
      </c>
      <c r="KV63" s="434" t="str">
        <f t="shared" si="31"/>
        <v>1</v>
      </c>
      <c r="KW63" s="434" t="str">
        <f t="shared" si="31"/>
        <v>1</v>
      </c>
      <c r="KX63" s="434" t="str">
        <f t="shared" si="31"/>
        <v>1</v>
      </c>
      <c r="KY63" s="434" t="str">
        <f t="shared" si="31"/>
        <v>1</v>
      </c>
      <c r="KZ63" s="434" t="str">
        <f t="shared" si="31"/>
        <v>1</v>
      </c>
      <c r="LA63" s="434" t="str">
        <f t="shared" si="31"/>
        <v>1</v>
      </c>
      <c r="LB63" s="434" t="str">
        <f t="shared" si="31"/>
        <v>1</v>
      </c>
      <c r="LC63" s="434" t="str">
        <f t="shared" si="31"/>
        <v>1</v>
      </c>
      <c r="LD63" s="434" t="str">
        <f t="shared" si="31"/>
        <v>1</v>
      </c>
      <c r="LE63" s="434" t="str">
        <f t="shared" si="31"/>
        <v>1</v>
      </c>
      <c r="LF63" s="434" t="str">
        <f t="shared" si="31"/>
        <v>1</v>
      </c>
      <c r="LG63" s="434" t="str">
        <f t="shared" si="31"/>
        <v>1</v>
      </c>
      <c r="LH63" s="434" t="str">
        <f t="shared" si="31"/>
        <v>1</v>
      </c>
      <c r="LI63" s="434" t="str">
        <f t="shared" si="31"/>
        <v>1</v>
      </c>
      <c r="LJ63" s="434" t="str">
        <f t="shared" si="31"/>
        <v>1</v>
      </c>
      <c r="LK63" s="434" t="str">
        <f t="shared" ref="LK63:NV63" si="32">IF(MONTH(LK46)&gt;6,"2","1")</f>
        <v>1</v>
      </c>
      <c r="LL63" s="434" t="str">
        <f t="shared" si="32"/>
        <v>1</v>
      </c>
      <c r="LM63" s="434" t="str">
        <f t="shared" si="32"/>
        <v>1</v>
      </c>
      <c r="LN63" s="434" t="str">
        <f t="shared" si="32"/>
        <v>1</v>
      </c>
      <c r="LO63" s="434" t="str">
        <f t="shared" si="32"/>
        <v>1</v>
      </c>
      <c r="LP63" s="434" t="str">
        <f t="shared" si="32"/>
        <v>1</v>
      </c>
      <c r="LQ63" s="434" t="str">
        <f t="shared" si="32"/>
        <v>1</v>
      </c>
      <c r="LR63" s="434" t="str">
        <f t="shared" si="32"/>
        <v>1</v>
      </c>
      <c r="LS63" s="434" t="str">
        <f t="shared" si="32"/>
        <v>1</v>
      </c>
      <c r="LT63" s="434" t="str">
        <f t="shared" si="32"/>
        <v>1</v>
      </c>
      <c r="LU63" s="434" t="str">
        <f t="shared" si="32"/>
        <v>1</v>
      </c>
      <c r="LV63" s="434" t="str">
        <f t="shared" si="32"/>
        <v>1</v>
      </c>
      <c r="LW63" s="434" t="str">
        <f t="shared" si="32"/>
        <v>1</v>
      </c>
      <c r="LX63" s="434" t="str">
        <f t="shared" si="32"/>
        <v>1</v>
      </c>
      <c r="LY63" s="434" t="str">
        <f t="shared" si="32"/>
        <v>1</v>
      </c>
      <c r="LZ63" s="434" t="str">
        <f t="shared" si="32"/>
        <v>1</v>
      </c>
      <c r="MA63" s="434" t="str">
        <f t="shared" si="32"/>
        <v>1</v>
      </c>
      <c r="MB63" s="434" t="str">
        <f t="shared" si="32"/>
        <v>1</v>
      </c>
      <c r="MC63" s="434" t="str">
        <f t="shared" si="32"/>
        <v>1</v>
      </c>
      <c r="MD63" s="434" t="str">
        <f t="shared" si="32"/>
        <v>1</v>
      </c>
      <c r="ME63" s="434" t="str">
        <f t="shared" si="32"/>
        <v>1</v>
      </c>
      <c r="MF63" s="434" t="str">
        <f t="shared" si="32"/>
        <v>1</v>
      </c>
      <c r="MG63" s="434" t="str">
        <f t="shared" si="32"/>
        <v>1</v>
      </c>
      <c r="MH63" s="434" t="str">
        <f t="shared" si="32"/>
        <v>1</v>
      </c>
      <c r="MI63" s="434" t="str">
        <f t="shared" si="32"/>
        <v>1</v>
      </c>
      <c r="MJ63" s="434" t="str">
        <f t="shared" si="32"/>
        <v>1</v>
      </c>
      <c r="MK63" s="434" t="str">
        <f t="shared" si="32"/>
        <v>1</v>
      </c>
      <c r="ML63" s="434" t="str">
        <f t="shared" si="32"/>
        <v>1</v>
      </c>
      <c r="MM63" s="434" t="str">
        <f t="shared" si="32"/>
        <v>1</v>
      </c>
      <c r="MN63" s="434" t="str">
        <f t="shared" si="32"/>
        <v>1</v>
      </c>
      <c r="MO63" s="434" t="str">
        <f t="shared" si="32"/>
        <v>1</v>
      </c>
      <c r="MP63" s="434" t="str">
        <f t="shared" si="32"/>
        <v>1</v>
      </c>
      <c r="MQ63" s="434" t="str">
        <f t="shared" si="32"/>
        <v>1</v>
      </c>
      <c r="MR63" s="434" t="str">
        <f t="shared" si="32"/>
        <v>1</v>
      </c>
      <c r="MS63" s="434" t="str">
        <f t="shared" si="32"/>
        <v>1</v>
      </c>
      <c r="MT63" s="434" t="str">
        <f t="shared" si="32"/>
        <v>1</v>
      </c>
      <c r="MU63" s="434" t="str">
        <f t="shared" si="32"/>
        <v>1</v>
      </c>
      <c r="MV63" s="434" t="str">
        <f t="shared" si="32"/>
        <v>1</v>
      </c>
      <c r="MW63" s="434" t="str">
        <f t="shared" si="32"/>
        <v>1</v>
      </c>
      <c r="MX63" s="434" t="str">
        <f t="shared" si="32"/>
        <v>1</v>
      </c>
      <c r="MY63" s="434" t="str">
        <f t="shared" si="32"/>
        <v>1</v>
      </c>
      <c r="MZ63" s="434" t="str">
        <f t="shared" si="32"/>
        <v>1</v>
      </c>
      <c r="NA63" s="434" t="str">
        <f t="shared" si="32"/>
        <v>1</v>
      </c>
      <c r="NB63" s="434" t="str">
        <f t="shared" si="32"/>
        <v>1</v>
      </c>
      <c r="NC63" s="434" t="str">
        <f t="shared" si="32"/>
        <v>1</v>
      </c>
      <c r="ND63" s="434" t="str">
        <f t="shared" si="32"/>
        <v>1</v>
      </c>
      <c r="NE63" s="434" t="str">
        <f t="shared" si="32"/>
        <v>1</v>
      </c>
      <c r="NF63" s="434" t="str">
        <f t="shared" si="32"/>
        <v>1</v>
      </c>
      <c r="NG63" s="434" t="str">
        <f t="shared" si="32"/>
        <v>1</v>
      </c>
      <c r="NH63" s="434" t="str">
        <f t="shared" si="32"/>
        <v>1</v>
      </c>
      <c r="NI63" s="434" t="str">
        <f t="shared" si="32"/>
        <v>1</v>
      </c>
      <c r="NJ63" s="434" t="str">
        <f t="shared" si="32"/>
        <v>1</v>
      </c>
      <c r="NK63" s="434" t="str">
        <f t="shared" si="32"/>
        <v>1</v>
      </c>
      <c r="NL63" s="434" t="str">
        <f t="shared" si="32"/>
        <v>1</v>
      </c>
      <c r="NM63" s="434" t="str">
        <f t="shared" si="32"/>
        <v>1</v>
      </c>
      <c r="NN63" s="434" t="str">
        <f t="shared" si="32"/>
        <v>1</v>
      </c>
      <c r="NO63" s="434" t="str">
        <f t="shared" si="32"/>
        <v>1</v>
      </c>
      <c r="NP63" s="434" t="str">
        <f t="shared" si="32"/>
        <v>1</v>
      </c>
      <c r="NQ63" s="434" t="str">
        <f t="shared" si="32"/>
        <v>1</v>
      </c>
      <c r="NR63" s="434" t="str">
        <f t="shared" si="32"/>
        <v>1</v>
      </c>
      <c r="NS63" s="434" t="str">
        <f t="shared" si="32"/>
        <v>1</v>
      </c>
      <c r="NT63" s="434" t="str">
        <f t="shared" si="32"/>
        <v>1</v>
      </c>
      <c r="NU63" s="434" t="str">
        <f t="shared" si="32"/>
        <v>1</v>
      </c>
      <c r="NV63" s="434" t="str">
        <f t="shared" si="32"/>
        <v>1</v>
      </c>
      <c r="NW63" s="434" t="str">
        <f t="shared" ref="NW63:QH63" si="33">IF(MONTH(NW46)&gt;6,"2","1")</f>
        <v>1</v>
      </c>
      <c r="NX63" s="434" t="str">
        <f t="shared" si="33"/>
        <v>1</v>
      </c>
      <c r="NY63" s="434" t="str">
        <f t="shared" si="33"/>
        <v>1</v>
      </c>
      <c r="NZ63" s="434" t="str">
        <f t="shared" si="33"/>
        <v>1</v>
      </c>
      <c r="OA63" s="434" t="str">
        <f t="shared" si="33"/>
        <v>1</v>
      </c>
      <c r="OB63" s="434" t="str">
        <f t="shared" si="33"/>
        <v>1</v>
      </c>
      <c r="OC63" s="434" t="str">
        <f t="shared" si="33"/>
        <v>1</v>
      </c>
      <c r="OD63" s="434" t="str">
        <f t="shared" si="33"/>
        <v>1</v>
      </c>
      <c r="OE63" s="434" t="str">
        <f t="shared" si="33"/>
        <v>1</v>
      </c>
      <c r="OF63" s="434" t="str">
        <f t="shared" si="33"/>
        <v>1</v>
      </c>
      <c r="OG63" s="434" t="str">
        <f t="shared" si="33"/>
        <v>1</v>
      </c>
      <c r="OH63" s="434" t="str">
        <f t="shared" si="33"/>
        <v>1</v>
      </c>
      <c r="OI63" s="434" t="str">
        <f t="shared" si="33"/>
        <v>1</v>
      </c>
      <c r="OJ63" s="434" t="str">
        <f t="shared" si="33"/>
        <v>1</v>
      </c>
      <c r="OK63" s="434" t="str">
        <f t="shared" si="33"/>
        <v>1</v>
      </c>
      <c r="OL63" s="434" t="str">
        <f t="shared" si="33"/>
        <v>1</v>
      </c>
      <c r="OM63" s="434" t="str">
        <f t="shared" si="33"/>
        <v>1</v>
      </c>
      <c r="ON63" s="434" t="str">
        <f t="shared" si="33"/>
        <v>1</v>
      </c>
      <c r="OO63" s="434" t="str">
        <f t="shared" si="33"/>
        <v>1</v>
      </c>
      <c r="OP63" s="434" t="str">
        <f t="shared" si="33"/>
        <v>1</v>
      </c>
      <c r="OQ63" s="434" t="str">
        <f t="shared" si="33"/>
        <v>1</v>
      </c>
      <c r="OR63" s="434" t="str">
        <f t="shared" si="33"/>
        <v>1</v>
      </c>
      <c r="OS63" s="434" t="str">
        <f t="shared" si="33"/>
        <v>1</v>
      </c>
      <c r="OT63" s="434" t="str">
        <f t="shared" si="33"/>
        <v>1</v>
      </c>
      <c r="OU63" s="434" t="str">
        <f t="shared" si="33"/>
        <v>1</v>
      </c>
      <c r="OV63" s="434" t="str">
        <f t="shared" si="33"/>
        <v>1</v>
      </c>
      <c r="OW63" s="434" t="str">
        <f t="shared" si="33"/>
        <v>1</v>
      </c>
      <c r="OX63" s="434" t="str">
        <f t="shared" si="33"/>
        <v>1</v>
      </c>
      <c r="OY63" s="434" t="str">
        <f t="shared" si="33"/>
        <v>1</v>
      </c>
      <c r="OZ63" s="434" t="str">
        <f t="shared" si="33"/>
        <v>1</v>
      </c>
      <c r="PA63" s="434" t="str">
        <f t="shared" si="33"/>
        <v>1</v>
      </c>
      <c r="PB63" s="434" t="str">
        <f t="shared" si="33"/>
        <v>1</v>
      </c>
      <c r="PC63" s="434" t="str">
        <f t="shared" si="33"/>
        <v>1</v>
      </c>
      <c r="PD63" s="434" t="str">
        <f t="shared" si="33"/>
        <v>1</v>
      </c>
      <c r="PE63" s="434" t="str">
        <f t="shared" si="33"/>
        <v>1</v>
      </c>
      <c r="PF63" s="434" t="str">
        <f t="shared" si="33"/>
        <v>1</v>
      </c>
      <c r="PG63" s="434" t="str">
        <f t="shared" si="33"/>
        <v>1</v>
      </c>
      <c r="PH63" s="434" t="str">
        <f t="shared" si="33"/>
        <v>1</v>
      </c>
      <c r="PI63" s="434" t="str">
        <f t="shared" si="33"/>
        <v>1</v>
      </c>
      <c r="PJ63" s="434" t="str">
        <f t="shared" si="33"/>
        <v>1</v>
      </c>
      <c r="PK63" s="434" t="str">
        <f t="shared" si="33"/>
        <v>1</v>
      </c>
      <c r="PL63" s="434" t="str">
        <f t="shared" si="33"/>
        <v>1</v>
      </c>
      <c r="PM63" s="434" t="str">
        <f t="shared" si="33"/>
        <v>1</v>
      </c>
      <c r="PN63" s="434" t="str">
        <f t="shared" si="33"/>
        <v>1</v>
      </c>
      <c r="PO63" s="434" t="str">
        <f t="shared" si="33"/>
        <v>1</v>
      </c>
      <c r="PP63" s="434" t="str">
        <f t="shared" si="33"/>
        <v>1</v>
      </c>
      <c r="PQ63" s="434" t="str">
        <f t="shared" si="33"/>
        <v>1</v>
      </c>
      <c r="PR63" s="434" t="str">
        <f t="shared" si="33"/>
        <v>1</v>
      </c>
      <c r="PS63" s="434" t="str">
        <f t="shared" si="33"/>
        <v>1</v>
      </c>
      <c r="PT63" s="434" t="str">
        <f t="shared" si="33"/>
        <v>1</v>
      </c>
      <c r="PU63" s="434" t="str">
        <f t="shared" si="33"/>
        <v>1</v>
      </c>
      <c r="PV63" s="434" t="str">
        <f t="shared" si="33"/>
        <v>1</v>
      </c>
      <c r="PW63" s="434" t="str">
        <f t="shared" si="33"/>
        <v>1</v>
      </c>
      <c r="PX63" s="434" t="str">
        <f t="shared" si="33"/>
        <v>1</v>
      </c>
      <c r="PY63" s="434" t="str">
        <f t="shared" si="33"/>
        <v>1</v>
      </c>
      <c r="PZ63" s="434" t="str">
        <f t="shared" si="33"/>
        <v>1</v>
      </c>
      <c r="QA63" s="434" t="str">
        <f t="shared" si="33"/>
        <v>1</v>
      </c>
      <c r="QB63" s="434" t="str">
        <f t="shared" si="33"/>
        <v>1</v>
      </c>
      <c r="QC63" s="434" t="str">
        <f t="shared" si="33"/>
        <v>1</v>
      </c>
      <c r="QD63" s="434" t="str">
        <f t="shared" si="33"/>
        <v>1</v>
      </c>
      <c r="QE63" s="434" t="str">
        <f t="shared" si="33"/>
        <v>1</v>
      </c>
      <c r="QF63" s="434" t="str">
        <f t="shared" si="33"/>
        <v>1</v>
      </c>
      <c r="QG63" s="434" t="str">
        <f t="shared" si="33"/>
        <v>1</v>
      </c>
      <c r="QH63" s="434" t="str">
        <f t="shared" si="33"/>
        <v>1</v>
      </c>
      <c r="QI63" s="434" t="str">
        <f t="shared" ref="QI63:ST63" si="34">IF(MONTH(QI46)&gt;6,"2","1")</f>
        <v>1</v>
      </c>
      <c r="QJ63" s="434" t="str">
        <f t="shared" si="34"/>
        <v>1</v>
      </c>
      <c r="QK63" s="434" t="str">
        <f t="shared" si="34"/>
        <v>1</v>
      </c>
      <c r="QL63" s="434" t="str">
        <f t="shared" si="34"/>
        <v>1</v>
      </c>
      <c r="QM63" s="434" t="str">
        <f t="shared" si="34"/>
        <v>1</v>
      </c>
      <c r="QN63" s="434" t="str">
        <f t="shared" si="34"/>
        <v>1</v>
      </c>
      <c r="QO63" s="434" t="str">
        <f t="shared" si="34"/>
        <v>1</v>
      </c>
      <c r="QP63" s="434" t="str">
        <f t="shared" si="34"/>
        <v>1</v>
      </c>
      <c r="QQ63" s="434" t="str">
        <f t="shared" si="34"/>
        <v>1</v>
      </c>
      <c r="QR63" s="434" t="str">
        <f t="shared" si="34"/>
        <v>1</v>
      </c>
      <c r="QS63" s="434" t="str">
        <f t="shared" si="34"/>
        <v>1</v>
      </c>
      <c r="QT63" s="434" t="str">
        <f t="shared" si="34"/>
        <v>1</v>
      </c>
      <c r="QU63" s="434" t="str">
        <f t="shared" si="34"/>
        <v>1</v>
      </c>
      <c r="QV63" s="434" t="str">
        <f t="shared" si="34"/>
        <v>1</v>
      </c>
      <c r="QW63" s="434" t="str">
        <f t="shared" si="34"/>
        <v>1</v>
      </c>
      <c r="QX63" s="434" t="str">
        <f t="shared" si="34"/>
        <v>1</v>
      </c>
      <c r="QY63" s="434" t="str">
        <f t="shared" si="34"/>
        <v>1</v>
      </c>
      <c r="QZ63" s="434" t="str">
        <f t="shared" si="34"/>
        <v>1</v>
      </c>
      <c r="RA63" s="434" t="str">
        <f t="shared" si="34"/>
        <v>1</v>
      </c>
      <c r="RB63" s="434" t="str">
        <f t="shared" si="34"/>
        <v>1</v>
      </c>
      <c r="RC63" s="434" t="str">
        <f t="shared" si="34"/>
        <v>1</v>
      </c>
      <c r="RD63" s="434" t="str">
        <f t="shared" si="34"/>
        <v>1</v>
      </c>
      <c r="RE63" s="434" t="str">
        <f t="shared" si="34"/>
        <v>1</v>
      </c>
      <c r="RF63" s="434" t="str">
        <f t="shared" si="34"/>
        <v>1</v>
      </c>
      <c r="RG63" s="434" t="str">
        <f t="shared" si="34"/>
        <v>1</v>
      </c>
      <c r="RH63" s="434" t="str">
        <f t="shared" si="34"/>
        <v>1</v>
      </c>
      <c r="RI63" s="434" t="str">
        <f t="shared" si="34"/>
        <v>1</v>
      </c>
      <c r="RJ63" s="434" t="str">
        <f t="shared" si="34"/>
        <v>1</v>
      </c>
      <c r="RK63" s="434" t="str">
        <f t="shared" si="34"/>
        <v>1</v>
      </c>
      <c r="RL63" s="434" t="str">
        <f t="shared" si="34"/>
        <v>1</v>
      </c>
      <c r="RM63" s="434" t="str">
        <f t="shared" si="34"/>
        <v>1</v>
      </c>
      <c r="RN63" s="434" t="str">
        <f t="shared" si="34"/>
        <v>1</v>
      </c>
      <c r="RO63" s="434" t="str">
        <f t="shared" si="34"/>
        <v>1</v>
      </c>
      <c r="RP63" s="434" t="str">
        <f t="shared" si="34"/>
        <v>1</v>
      </c>
      <c r="RQ63" s="434" t="str">
        <f t="shared" si="34"/>
        <v>1</v>
      </c>
      <c r="RR63" s="434" t="str">
        <f t="shared" si="34"/>
        <v>1</v>
      </c>
      <c r="RS63" s="434" t="str">
        <f t="shared" si="34"/>
        <v>1</v>
      </c>
      <c r="RT63" s="434" t="str">
        <f t="shared" si="34"/>
        <v>1</v>
      </c>
      <c r="RU63" s="434" t="str">
        <f t="shared" si="34"/>
        <v>1</v>
      </c>
      <c r="RV63" s="434" t="str">
        <f t="shared" si="34"/>
        <v>1</v>
      </c>
      <c r="RW63" s="434" t="str">
        <f t="shared" si="34"/>
        <v>1</v>
      </c>
      <c r="RX63" s="434" t="str">
        <f t="shared" si="34"/>
        <v>1</v>
      </c>
      <c r="RY63" s="434" t="str">
        <f t="shared" si="34"/>
        <v>1</v>
      </c>
      <c r="RZ63" s="434" t="str">
        <f t="shared" si="34"/>
        <v>1</v>
      </c>
      <c r="SA63" s="434" t="str">
        <f t="shared" si="34"/>
        <v>1</v>
      </c>
      <c r="SB63" s="434" t="str">
        <f t="shared" si="34"/>
        <v>1</v>
      </c>
      <c r="SC63" s="434" t="str">
        <f t="shared" si="34"/>
        <v>1</v>
      </c>
      <c r="SD63" s="434" t="str">
        <f t="shared" si="34"/>
        <v>1</v>
      </c>
      <c r="SE63" s="434" t="str">
        <f t="shared" si="34"/>
        <v>1</v>
      </c>
      <c r="SF63" s="434" t="str">
        <f t="shared" si="34"/>
        <v>1</v>
      </c>
      <c r="SG63" s="434" t="str">
        <f t="shared" si="34"/>
        <v>1</v>
      </c>
      <c r="SH63" s="434" t="str">
        <f t="shared" si="34"/>
        <v>1</v>
      </c>
      <c r="SI63" s="434" t="str">
        <f t="shared" si="34"/>
        <v>1</v>
      </c>
      <c r="SJ63" s="434" t="str">
        <f t="shared" si="34"/>
        <v>1</v>
      </c>
      <c r="SK63" s="434" t="str">
        <f t="shared" si="34"/>
        <v>1</v>
      </c>
      <c r="SL63" s="434" t="str">
        <f t="shared" si="34"/>
        <v>1</v>
      </c>
      <c r="SM63" s="434" t="str">
        <f t="shared" si="34"/>
        <v>1</v>
      </c>
      <c r="SN63" s="434" t="str">
        <f t="shared" si="34"/>
        <v>1</v>
      </c>
      <c r="SO63" s="434" t="str">
        <f t="shared" si="34"/>
        <v>1</v>
      </c>
      <c r="SP63" s="434" t="str">
        <f t="shared" si="34"/>
        <v>1</v>
      </c>
      <c r="SQ63" s="434" t="str">
        <f t="shared" si="34"/>
        <v>1</v>
      </c>
      <c r="SR63" s="434" t="str">
        <f t="shared" si="34"/>
        <v>1</v>
      </c>
      <c r="SS63" s="434" t="str">
        <f t="shared" si="34"/>
        <v>1</v>
      </c>
      <c r="ST63" s="434" t="str">
        <f t="shared" si="34"/>
        <v>1</v>
      </c>
      <c r="SU63" s="434" t="str">
        <f t="shared" ref="SU63:VF63" si="35">IF(MONTH(SU46)&gt;6,"2","1")</f>
        <v>1</v>
      </c>
      <c r="SV63" s="434" t="str">
        <f t="shared" si="35"/>
        <v>1</v>
      </c>
      <c r="SW63" s="434" t="str">
        <f t="shared" si="35"/>
        <v>1</v>
      </c>
      <c r="SX63" s="434" t="str">
        <f t="shared" si="35"/>
        <v>1</v>
      </c>
      <c r="SY63" s="434" t="str">
        <f t="shared" si="35"/>
        <v>1</v>
      </c>
      <c r="SZ63" s="434" t="str">
        <f t="shared" si="35"/>
        <v>1</v>
      </c>
      <c r="TA63" s="434" t="str">
        <f t="shared" si="35"/>
        <v>1</v>
      </c>
      <c r="TB63" s="434" t="str">
        <f t="shared" si="35"/>
        <v>1</v>
      </c>
      <c r="TC63" s="434" t="str">
        <f t="shared" si="35"/>
        <v>1</v>
      </c>
      <c r="TD63" s="434" t="str">
        <f t="shared" si="35"/>
        <v>1</v>
      </c>
      <c r="TE63" s="434" t="str">
        <f t="shared" si="35"/>
        <v>1</v>
      </c>
      <c r="TF63" s="434" t="str">
        <f t="shared" si="35"/>
        <v>1</v>
      </c>
      <c r="TG63" s="434" t="str">
        <f t="shared" si="35"/>
        <v>1</v>
      </c>
      <c r="TH63" s="434" t="str">
        <f t="shared" si="35"/>
        <v>1</v>
      </c>
      <c r="TI63" s="434" t="str">
        <f t="shared" si="35"/>
        <v>1</v>
      </c>
      <c r="TJ63" s="434" t="str">
        <f t="shared" si="35"/>
        <v>1</v>
      </c>
      <c r="TK63" s="434" t="str">
        <f t="shared" si="35"/>
        <v>1</v>
      </c>
      <c r="TL63" s="434" t="str">
        <f t="shared" si="35"/>
        <v>1</v>
      </c>
      <c r="TM63" s="434" t="str">
        <f t="shared" si="35"/>
        <v>1</v>
      </c>
      <c r="TN63" s="434" t="str">
        <f t="shared" si="35"/>
        <v>1</v>
      </c>
      <c r="TO63" s="434" t="str">
        <f t="shared" si="35"/>
        <v>1</v>
      </c>
      <c r="TP63" s="434" t="str">
        <f t="shared" si="35"/>
        <v>1</v>
      </c>
      <c r="TQ63" s="434" t="str">
        <f t="shared" si="35"/>
        <v>1</v>
      </c>
      <c r="TR63" s="434" t="str">
        <f t="shared" si="35"/>
        <v>1</v>
      </c>
      <c r="TS63" s="434" t="str">
        <f t="shared" si="35"/>
        <v>1</v>
      </c>
      <c r="TT63" s="434" t="str">
        <f t="shared" si="35"/>
        <v>1</v>
      </c>
      <c r="TU63" s="434" t="str">
        <f t="shared" si="35"/>
        <v>1</v>
      </c>
      <c r="TV63" s="434" t="str">
        <f t="shared" si="35"/>
        <v>1</v>
      </c>
      <c r="TW63" s="434" t="str">
        <f t="shared" si="35"/>
        <v>1</v>
      </c>
      <c r="TX63" s="434" t="str">
        <f t="shared" si="35"/>
        <v>1</v>
      </c>
      <c r="TY63" s="434" t="str">
        <f t="shared" si="35"/>
        <v>1</v>
      </c>
      <c r="TZ63" s="434" t="str">
        <f t="shared" si="35"/>
        <v>1</v>
      </c>
      <c r="UA63" s="434" t="str">
        <f t="shared" si="35"/>
        <v>1</v>
      </c>
      <c r="UB63" s="434" t="str">
        <f t="shared" si="35"/>
        <v>1</v>
      </c>
      <c r="UC63" s="434" t="str">
        <f t="shared" si="35"/>
        <v>1</v>
      </c>
      <c r="UD63" s="434" t="str">
        <f t="shared" si="35"/>
        <v>1</v>
      </c>
      <c r="UE63" s="434" t="str">
        <f t="shared" si="35"/>
        <v>1</v>
      </c>
      <c r="UF63" s="434" t="str">
        <f t="shared" si="35"/>
        <v>1</v>
      </c>
      <c r="UG63" s="434" t="str">
        <f t="shared" si="35"/>
        <v>1</v>
      </c>
      <c r="UH63" s="434" t="str">
        <f t="shared" si="35"/>
        <v>1</v>
      </c>
      <c r="UI63" s="434" t="str">
        <f t="shared" si="35"/>
        <v>1</v>
      </c>
      <c r="UJ63" s="434" t="str">
        <f t="shared" si="35"/>
        <v>1</v>
      </c>
      <c r="UK63" s="434" t="str">
        <f t="shared" si="35"/>
        <v>1</v>
      </c>
      <c r="UL63" s="434" t="str">
        <f t="shared" si="35"/>
        <v>1</v>
      </c>
      <c r="UM63" s="434" t="str">
        <f t="shared" si="35"/>
        <v>1</v>
      </c>
      <c r="UN63" s="434" t="str">
        <f t="shared" si="35"/>
        <v>1</v>
      </c>
      <c r="UO63" s="434" t="str">
        <f t="shared" si="35"/>
        <v>1</v>
      </c>
      <c r="UP63" s="434" t="str">
        <f t="shared" si="35"/>
        <v>1</v>
      </c>
      <c r="UQ63" s="434" t="str">
        <f t="shared" si="35"/>
        <v>1</v>
      </c>
      <c r="UR63" s="434" t="str">
        <f t="shared" si="35"/>
        <v>1</v>
      </c>
      <c r="US63" s="434" t="str">
        <f t="shared" si="35"/>
        <v>1</v>
      </c>
      <c r="UT63" s="434" t="str">
        <f t="shared" si="35"/>
        <v>1</v>
      </c>
      <c r="UU63" s="434" t="str">
        <f t="shared" si="35"/>
        <v>1</v>
      </c>
      <c r="UV63" s="434" t="str">
        <f t="shared" si="35"/>
        <v>1</v>
      </c>
      <c r="UW63" s="434" t="str">
        <f t="shared" si="35"/>
        <v>1</v>
      </c>
      <c r="UX63" s="434" t="str">
        <f t="shared" si="35"/>
        <v>1</v>
      </c>
      <c r="UY63" s="434" t="str">
        <f t="shared" si="35"/>
        <v>1</v>
      </c>
      <c r="UZ63" s="434" t="str">
        <f t="shared" si="35"/>
        <v>1</v>
      </c>
      <c r="VA63" s="434" t="str">
        <f t="shared" si="35"/>
        <v>1</v>
      </c>
      <c r="VB63" s="434" t="str">
        <f t="shared" si="35"/>
        <v>1</v>
      </c>
      <c r="VC63" s="434" t="str">
        <f t="shared" si="35"/>
        <v>1</v>
      </c>
      <c r="VD63" s="434" t="str">
        <f t="shared" si="35"/>
        <v>1</v>
      </c>
      <c r="VE63" s="434" t="str">
        <f t="shared" si="35"/>
        <v>1</v>
      </c>
      <c r="VF63" s="434" t="str">
        <f t="shared" si="35"/>
        <v>1</v>
      </c>
      <c r="VG63" s="434" t="str">
        <f t="shared" ref="VG63:XR63" si="36">IF(MONTH(VG46)&gt;6,"2","1")</f>
        <v>1</v>
      </c>
      <c r="VH63" s="434" t="str">
        <f t="shared" si="36"/>
        <v>1</v>
      </c>
      <c r="VI63" s="434" t="str">
        <f t="shared" si="36"/>
        <v>1</v>
      </c>
      <c r="VJ63" s="434" t="str">
        <f t="shared" si="36"/>
        <v>1</v>
      </c>
      <c r="VK63" s="434" t="str">
        <f t="shared" si="36"/>
        <v>1</v>
      </c>
      <c r="VL63" s="434" t="str">
        <f t="shared" si="36"/>
        <v>1</v>
      </c>
      <c r="VM63" s="434" t="str">
        <f t="shared" si="36"/>
        <v>1</v>
      </c>
      <c r="VN63" s="434" t="str">
        <f t="shared" si="36"/>
        <v>1</v>
      </c>
      <c r="VO63" s="434" t="str">
        <f t="shared" si="36"/>
        <v>1</v>
      </c>
      <c r="VP63" s="434" t="str">
        <f t="shared" si="36"/>
        <v>1</v>
      </c>
      <c r="VQ63" s="434" t="str">
        <f t="shared" si="36"/>
        <v>1</v>
      </c>
      <c r="VR63" s="434" t="str">
        <f t="shared" si="36"/>
        <v>1</v>
      </c>
      <c r="VS63" s="434" t="str">
        <f t="shared" si="36"/>
        <v>1</v>
      </c>
      <c r="VT63" s="434" t="str">
        <f t="shared" si="36"/>
        <v>1</v>
      </c>
      <c r="VU63" s="434" t="str">
        <f t="shared" si="36"/>
        <v>1</v>
      </c>
      <c r="VV63" s="434" t="str">
        <f t="shared" si="36"/>
        <v>1</v>
      </c>
      <c r="VW63" s="434" t="str">
        <f t="shared" si="36"/>
        <v>1</v>
      </c>
      <c r="VX63" s="434" t="str">
        <f t="shared" si="36"/>
        <v>1</v>
      </c>
      <c r="VY63" s="434" t="str">
        <f t="shared" si="36"/>
        <v>1</v>
      </c>
      <c r="VZ63" s="434" t="str">
        <f t="shared" si="36"/>
        <v>1</v>
      </c>
      <c r="WA63" s="434" t="str">
        <f t="shared" si="36"/>
        <v>1</v>
      </c>
      <c r="WB63" s="434" t="str">
        <f t="shared" si="36"/>
        <v>1</v>
      </c>
      <c r="WC63" s="434" t="str">
        <f t="shared" si="36"/>
        <v>1</v>
      </c>
      <c r="WD63" s="434" t="str">
        <f t="shared" si="36"/>
        <v>1</v>
      </c>
      <c r="WE63" s="434" t="str">
        <f t="shared" si="36"/>
        <v>1</v>
      </c>
      <c r="WF63" s="434" t="str">
        <f t="shared" si="36"/>
        <v>1</v>
      </c>
      <c r="WG63" s="434" t="str">
        <f t="shared" si="36"/>
        <v>1</v>
      </c>
      <c r="WH63" s="434" t="str">
        <f t="shared" si="36"/>
        <v>1</v>
      </c>
      <c r="WI63" s="434" t="str">
        <f t="shared" si="36"/>
        <v>1</v>
      </c>
      <c r="WJ63" s="434" t="str">
        <f t="shared" si="36"/>
        <v>1</v>
      </c>
      <c r="WK63" s="434" t="str">
        <f t="shared" si="36"/>
        <v>1</v>
      </c>
      <c r="WL63" s="434" t="str">
        <f t="shared" si="36"/>
        <v>1</v>
      </c>
      <c r="WM63" s="434" t="str">
        <f t="shared" si="36"/>
        <v>1</v>
      </c>
      <c r="WN63" s="434" t="str">
        <f t="shared" si="36"/>
        <v>1</v>
      </c>
      <c r="WO63" s="434" t="str">
        <f t="shared" si="36"/>
        <v>1</v>
      </c>
      <c r="WP63" s="434" t="str">
        <f t="shared" si="36"/>
        <v>1</v>
      </c>
      <c r="WQ63" s="434" t="str">
        <f t="shared" si="36"/>
        <v>1</v>
      </c>
      <c r="WR63" s="434" t="str">
        <f t="shared" si="36"/>
        <v>1</v>
      </c>
      <c r="WS63" s="434" t="str">
        <f t="shared" si="36"/>
        <v>1</v>
      </c>
      <c r="WT63" s="434" t="str">
        <f t="shared" si="36"/>
        <v>1</v>
      </c>
      <c r="WU63" s="434" t="str">
        <f t="shared" si="36"/>
        <v>1</v>
      </c>
      <c r="WV63" s="434" t="str">
        <f t="shared" si="36"/>
        <v>1</v>
      </c>
      <c r="WW63" s="434" t="str">
        <f t="shared" si="36"/>
        <v>1</v>
      </c>
      <c r="WX63" s="434" t="str">
        <f t="shared" si="36"/>
        <v>1</v>
      </c>
      <c r="WY63" s="434" t="str">
        <f t="shared" si="36"/>
        <v>1</v>
      </c>
      <c r="WZ63" s="434" t="str">
        <f t="shared" si="36"/>
        <v>1</v>
      </c>
      <c r="XA63" s="434" t="str">
        <f t="shared" si="36"/>
        <v>1</v>
      </c>
      <c r="XB63" s="434" t="str">
        <f t="shared" si="36"/>
        <v>1</v>
      </c>
      <c r="XC63" s="434" t="str">
        <f t="shared" si="36"/>
        <v>1</v>
      </c>
      <c r="XD63" s="434" t="str">
        <f t="shared" si="36"/>
        <v>1</v>
      </c>
      <c r="XE63" s="434" t="str">
        <f t="shared" si="36"/>
        <v>1</v>
      </c>
      <c r="XF63" s="434" t="str">
        <f t="shared" si="36"/>
        <v>1</v>
      </c>
      <c r="XG63" s="434" t="str">
        <f t="shared" si="36"/>
        <v>1</v>
      </c>
      <c r="XH63" s="434" t="str">
        <f t="shared" si="36"/>
        <v>1</v>
      </c>
      <c r="XI63" s="434" t="str">
        <f t="shared" si="36"/>
        <v>1</v>
      </c>
      <c r="XJ63" s="434" t="str">
        <f t="shared" si="36"/>
        <v>1</v>
      </c>
      <c r="XK63" s="434" t="str">
        <f t="shared" si="36"/>
        <v>1</v>
      </c>
      <c r="XL63" s="434" t="str">
        <f t="shared" si="36"/>
        <v>1</v>
      </c>
      <c r="XM63" s="434" t="str">
        <f t="shared" si="36"/>
        <v>1</v>
      </c>
      <c r="XN63" s="434" t="str">
        <f t="shared" si="36"/>
        <v>1</v>
      </c>
      <c r="XO63" s="434" t="str">
        <f t="shared" si="36"/>
        <v>1</v>
      </c>
      <c r="XP63" s="434" t="str">
        <f t="shared" si="36"/>
        <v>1</v>
      </c>
      <c r="XQ63" s="434" t="str">
        <f t="shared" si="36"/>
        <v>1</v>
      </c>
      <c r="XR63" s="434" t="str">
        <f t="shared" si="36"/>
        <v>1</v>
      </c>
      <c r="XS63" s="434" t="str">
        <f t="shared" ref="XS63:XX63" si="37">IF(MONTH(XS46)&gt;6,"2","1")</f>
        <v>1</v>
      </c>
      <c r="XT63" s="434" t="str">
        <f t="shared" si="37"/>
        <v>1</v>
      </c>
      <c r="XU63" s="434" t="str">
        <f t="shared" si="37"/>
        <v>1</v>
      </c>
      <c r="XV63" s="434" t="str">
        <f t="shared" si="37"/>
        <v>1</v>
      </c>
      <c r="XW63" s="434" t="str">
        <f t="shared" si="37"/>
        <v>1</v>
      </c>
      <c r="XX63" s="434" t="str">
        <f t="shared" si="37"/>
        <v>1</v>
      </c>
    </row>
    <row r="64" spans="1:648" ht="15.75" thickBot="1">
      <c r="A64" s="26" t="s">
        <v>177</v>
      </c>
      <c r="B64" s="230" t="s">
        <v>356</v>
      </c>
      <c r="C64" s="230" t="s">
        <v>357</v>
      </c>
      <c r="D64" s="230" t="s">
        <v>358</v>
      </c>
      <c r="E64" s="230" t="s">
        <v>359</v>
      </c>
      <c r="F64" s="230" t="s">
        <v>360</v>
      </c>
      <c r="G64" s="230" t="s">
        <v>361</v>
      </c>
      <c r="H64" s="230" t="s">
        <v>362</v>
      </c>
      <c r="I64" s="230" t="s">
        <v>363</v>
      </c>
      <c r="J64" s="230" t="s">
        <v>364</v>
      </c>
      <c r="K64" s="230" t="s">
        <v>365</v>
      </c>
      <c r="L64" s="230" t="s">
        <v>366</v>
      </c>
      <c r="M64" s="230" t="s">
        <v>367</v>
      </c>
      <c r="N64" s="230" t="s">
        <v>368</v>
      </c>
      <c r="O64" s="230" t="s">
        <v>369</v>
      </c>
      <c r="P64" s="230" t="s">
        <v>370</v>
      </c>
      <c r="Q64" s="230" t="s">
        <v>371</v>
      </c>
      <c r="R64" s="230" t="s">
        <v>372</v>
      </c>
      <c r="S64" s="230" t="s">
        <v>373</v>
      </c>
      <c r="T64" s="230" t="s">
        <v>374</v>
      </c>
      <c r="U64" s="230" t="s">
        <v>375</v>
      </c>
      <c r="V64" s="230" t="s">
        <v>376</v>
      </c>
      <c r="W64" s="230" t="s">
        <v>377</v>
      </c>
      <c r="X64" s="230" t="s">
        <v>378</v>
      </c>
      <c r="Y64" s="230" t="s">
        <v>379</v>
      </c>
      <c r="Z64" s="230" t="s">
        <v>380</v>
      </c>
      <c r="AA64" s="230" t="s">
        <v>381</v>
      </c>
      <c r="AB64" s="230" t="s">
        <v>382</v>
      </c>
      <c r="AC64" s="230" t="s">
        <v>383</v>
      </c>
      <c r="AD64" s="230" t="s">
        <v>384</v>
      </c>
      <c r="AE64" s="230" t="s">
        <v>385</v>
      </c>
      <c r="AF64" s="230" t="s">
        <v>386</v>
      </c>
      <c r="AG64" s="230" t="s">
        <v>387</v>
      </c>
      <c r="AH64" s="230" t="s">
        <v>388</v>
      </c>
      <c r="AI64" s="230" t="s">
        <v>389</v>
      </c>
      <c r="AJ64" s="230" t="s">
        <v>390</v>
      </c>
      <c r="AK64" s="230" t="s">
        <v>391</v>
      </c>
      <c r="AL64" s="230" t="s">
        <v>392</v>
      </c>
      <c r="AM64" s="230" t="s">
        <v>393</v>
      </c>
      <c r="AN64" s="230" t="s">
        <v>394</v>
      </c>
      <c r="AO64" s="230" t="s">
        <v>395</v>
      </c>
      <c r="AP64" s="230" t="s">
        <v>396</v>
      </c>
      <c r="AQ64" s="230" t="s">
        <v>397</v>
      </c>
      <c r="AR64" s="230" t="s">
        <v>398</v>
      </c>
      <c r="AS64" s="230" t="s">
        <v>399</v>
      </c>
      <c r="AT64" s="230" t="s">
        <v>400</v>
      </c>
      <c r="AU64" s="230" t="s">
        <v>401</v>
      </c>
      <c r="AV64" s="230" t="s">
        <v>402</v>
      </c>
      <c r="AW64" s="230" t="s">
        <v>403</v>
      </c>
      <c r="AX64" s="230" t="s">
        <v>404</v>
      </c>
      <c r="AY64" s="230" t="s">
        <v>405</v>
      </c>
      <c r="AZ64" s="230" t="s">
        <v>406</v>
      </c>
      <c r="BA64" s="230" t="s">
        <v>407</v>
      </c>
      <c r="BB64" s="230" t="s">
        <v>408</v>
      </c>
      <c r="BC64" s="230" t="s">
        <v>409</v>
      </c>
      <c r="BD64" s="230" t="s">
        <v>410</v>
      </c>
      <c r="BE64" s="230" t="s">
        <v>411</v>
      </c>
      <c r="BF64" s="230" t="s">
        <v>412</v>
      </c>
      <c r="BG64" s="230" t="s">
        <v>413</v>
      </c>
      <c r="BH64" s="230" t="s">
        <v>414</v>
      </c>
      <c r="BI64" s="230" t="s">
        <v>415</v>
      </c>
      <c r="BJ64" s="230" t="s">
        <v>416</v>
      </c>
      <c r="BK64" s="230" t="s">
        <v>417</v>
      </c>
      <c r="BL64" s="230" t="s">
        <v>418</v>
      </c>
      <c r="BM64" s="230" t="s">
        <v>419</v>
      </c>
      <c r="BN64" s="230" t="s">
        <v>420</v>
      </c>
      <c r="BO64" s="230" t="s">
        <v>421</v>
      </c>
      <c r="BP64" s="230" t="s">
        <v>422</v>
      </c>
      <c r="BQ64" s="230" t="s">
        <v>423</v>
      </c>
      <c r="BR64" s="230" t="s">
        <v>424</v>
      </c>
      <c r="BS64" s="387" t="s">
        <v>425</v>
      </c>
      <c r="FY64" s="433"/>
      <c r="GE64" s="433"/>
    </row>
    <row r="65" spans="1:187">
      <c r="A65" s="231" t="s">
        <v>337</v>
      </c>
      <c r="B65" s="348">
        <f>AVERAGEIFS($B47:$XX47,$B$63:$XX$63,RIGHT(LEFT(B$64,2),1),$B$62:$XX$62,RIGHT(B$64,4))</f>
        <v>1336.8333333333333</v>
      </c>
      <c r="C65" s="348">
        <f t="shared" ref="C65:BN75" si="38">AVERAGEIFS($B47:$XX47,$B$63:$XX$63,RIGHT(LEFT(C$64,2),1),$B$62:$XX$62,RIGHT(C$64,4))</f>
        <v>1320</v>
      </c>
      <c r="D65" s="348">
        <f t="shared" si="38"/>
        <v>1252.6666666666667</v>
      </c>
      <c r="E65" s="348">
        <f t="shared" si="38"/>
        <v>1375.3333333333333</v>
      </c>
      <c r="F65" s="348">
        <f t="shared" si="38"/>
        <v>1479.5</v>
      </c>
      <c r="G65" s="348">
        <f t="shared" si="38"/>
        <v>1272.8333333333333</v>
      </c>
      <c r="H65" s="348">
        <f t="shared" si="38"/>
        <v>991.66666666666663</v>
      </c>
      <c r="I65" s="348">
        <f t="shared" si="38"/>
        <v>1329.3333333333333</v>
      </c>
      <c r="J65" s="348">
        <f t="shared" si="38"/>
        <v>1421.3333333333333</v>
      </c>
      <c r="K65" s="348">
        <f t="shared" si="38"/>
        <v>1838.5</v>
      </c>
      <c r="L65" s="348">
        <f t="shared" si="38"/>
        <v>1965.8333333333333</v>
      </c>
      <c r="M65" s="348">
        <f t="shared" si="38"/>
        <v>2221.6666666666665</v>
      </c>
      <c r="N65" s="348">
        <f t="shared" si="38"/>
        <v>2468.3333333333335</v>
      </c>
      <c r="O65" s="348">
        <f t="shared" si="38"/>
        <v>2459.5</v>
      </c>
      <c r="P65" s="348">
        <f t="shared" si="38"/>
        <v>2563.3333333333335</v>
      </c>
      <c r="Q65" s="348">
        <f t="shared" si="38"/>
        <v>2348.3333333333335</v>
      </c>
      <c r="R65" s="348">
        <f t="shared" si="38"/>
        <v>1457</v>
      </c>
      <c r="S65" s="348">
        <f t="shared" si="38"/>
        <v>1495.3333333333333</v>
      </c>
      <c r="T65" s="348">
        <f t="shared" si="38"/>
        <v>1835.6666666666667</v>
      </c>
      <c r="U65" s="348">
        <f t="shared" si="38"/>
        <v>1963.6666666666667</v>
      </c>
      <c r="V65" s="348">
        <f t="shared" si="38"/>
        <v>2119.1666666666665</v>
      </c>
      <c r="W65" s="348">
        <f t="shared" si="38"/>
        <v>2483.8333333333335</v>
      </c>
      <c r="X65" s="348">
        <f t="shared" si="38"/>
        <v>2756.5</v>
      </c>
      <c r="Y65" s="348">
        <f t="shared" si="38"/>
        <v>2706.3333333333335</v>
      </c>
      <c r="Z65" s="348">
        <f t="shared" si="38"/>
        <v>2455.8333333333335</v>
      </c>
      <c r="AA65" s="348">
        <f t="shared" si="38"/>
        <v>2478.3333333333335</v>
      </c>
      <c r="AB65" s="348">
        <f t="shared" si="38"/>
        <v>2256.1666666666665</v>
      </c>
      <c r="AC65" s="348">
        <f t="shared" si="38"/>
        <v>2331</v>
      </c>
      <c r="AD65" s="348">
        <f t="shared" si="38"/>
        <v>2150</v>
      </c>
      <c r="AE65" s="348">
        <f t="shared" si="38"/>
        <v>2049</v>
      </c>
      <c r="AF65" s="348">
        <f t="shared" si="38"/>
        <v>1880.3333333333333</v>
      </c>
      <c r="AG65" s="348">
        <f t="shared" si="38"/>
        <v>1852.1666666666667</v>
      </c>
      <c r="AH65" s="348" t="e">
        <f t="shared" si="38"/>
        <v>#DIV/0!</v>
      </c>
      <c r="AI65" s="348" t="e">
        <f t="shared" si="38"/>
        <v>#DIV/0!</v>
      </c>
      <c r="AJ65" s="348" t="e">
        <f t="shared" si="38"/>
        <v>#DIV/0!</v>
      </c>
      <c r="AK65" s="348" t="e">
        <f t="shared" si="38"/>
        <v>#DIV/0!</v>
      </c>
      <c r="AL65" s="348" t="e">
        <f t="shared" si="38"/>
        <v>#DIV/0!</v>
      </c>
      <c r="AM65" s="348" t="e">
        <f t="shared" si="38"/>
        <v>#DIV/0!</v>
      </c>
      <c r="AN65" s="348" t="e">
        <f t="shared" si="38"/>
        <v>#DIV/0!</v>
      </c>
      <c r="AO65" s="348" t="e">
        <f t="shared" si="38"/>
        <v>#DIV/0!</v>
      </c>
      <c r="AP65" s="348" t="e">
        <f t="shared" si="38"/>
        <v>#DIV/0!</v>
      </c>
      <c r="AQ65" s="348" t="e">
        <f t="shared" si="38"/>
        <v>#DIV/0!</v>
      </c>
      <c r="AR65" s="348" t="e">
        <f t="shared" si="38"/>
        <v>#DIV/0!</v>
      </c>
      <c r="AS65" s="348" t="e">
        <f t="shared" si="38"/>
        <v>#DIV/0!</v>
      </c>
      <c r="AT65" s="348" t="e">
        <f t="shared" si="38"/>
        <v>#DIV/0!</v>
      </c>
      <c r="AU65" s="348" t="e">
        <f t="shared" si="38"/>
        <v>#DIV/0!</v>
      </c>
      <c r="AV65" s="348" t="e">
        <f t="shared" si="38"/>
        <v>#DIV/0!</v>
      </c>
      <c r="AW65" s="348" t="e">
        <f t="shared" si="38"/>
        <v>#DIV/0!</v>
      </c>
      <c r="AX65" s="348" t="e">
        <f t="shared" si="38"/>
        <v>#DIV/0!</v>
      </c>
      <c r="AY65" s="348" t="e">
        <f t="shared" si="38"/>
        <v>#DIV/0!</v>
      </c>
      <c r="AZ65" s="348" t="e">
        <f t="shared" si="38"/>
        <v>#DIV/0!</v>
      </c>
      <c r="BA65" s="348" t="e">
        <f t="shared" si="38"/>
        <v>#DIV/0!</v>
      </c>
      <c r="BB65" s="348" t="e">
        <f t="shared" si="38"/>
        <v>#DIV/0!</v>
      </c>
      <c r="BC65" s="348" t="e">
        <f t="shared" si="38"/>
        <v>#DIV/0!</v>
      </c>
      <c r="BD65" s="348" t="e">
        <f t="shared" si="38"/>
        <v>#DIV/0!</v>
      </c>
      <c r="BE65" s="348" t="e">
        <f t="shared" si="38"/>
        <v>#DIV/0!</v>
      </c>
      <c r="BF65" s="348" t="e">
        <f t="shared" si="38"/>
        <v>#DIV/0!</v>
      </c>
      <c r="BG65" s="348" t="e">
        <f t="shared" si="38"/>
        <v>#DIV/0!</v>
      </c>
      <c r="BH65" s="348" t="e">
        <f t="shared" si="38"/>
        <v>#DIV/0!</v>
      </c>
      <c r="BI65" s="348" t="e">
        <f t="shared" si="38"/>
        <v>#DIV/0!</v>
      </c>
      <c r="BJ65" s="348" t="e">
        <f t="shared" si="38"/>
        <v>#DIV/0!</v>
      </c>
      <c r="BK65" s="348" t="e">
        <f t="shared" si="38"/>
        <v>#DIV/0!</v>
      </c>
      <c r="BL65" s="348" t="e">
        <f t="shared" si="38"/>
        <v>#DIV/0!</v>
      </c>
      <c r="BM65" s="348" t="e">
        <f t="shared" si="38"/>
        <v>#DIV/0!</v>
      </c>
      <c r="BN65" s="348" t="e">
        <f t="shared" si="38"/>
        <v>#DIV/0!</v>
      </c>
      <c r="BO65" s="348" t="e">
        <f t="shared" ref="BO65:BS75" si="39">AVERAGEIFS($B47:$XX47,$B$63:$XX$63,RIGHT(LEFT(BO$64,2),1),$B$62:$XX$62,RIGHT(BO$64,4))</f>
        <v>#DIV/0!</v>
      </c>
      <c r="BP65" s="348" t="e">
        <f t="shared" si="39"/>
        <v>#DIV/0!</v>
      </c>
      <c r="BQ65" s="348" t="e">
        <f t="shared" si="39"/>
        <v>#DIV/0!</v>
      </c>
      <c r="BR65" s="348" t="e">
        <f t="shared" si="39"/>
        <v>#DIV/0!</v>
      </c>
      <c r="BS65" s="24" t="e">
        <f t="shared" si="39"/>
        <v>#DIV/0!</v>
      </c>
      <c r="FY65" s="433"/>
      <c r="GE65" s="433"/>
    </row>
    <row r="66" spans="1:187">
      <c r="A66" s="231" t="s">
        <v>240</v>
      </c>
      <c r="B66" s="442">
        <f t="shared" ref="B66:BM69" si="40">AVERAGEIFS($B48:$XX48,$B$63:$XX$63,RIGHT(LEFT(B$64,2),1),$B$62:$XX$62,RIGHT(B$64,4))</f>
        <v>5830.833333333333</v>
      </c>
      <c r="C66" s="442">
        <f t="shared" si="40"/>
        <v>6172.5</v>
      </c>
      <c r="D66" s="442">
        <f t="shared" si="40"/>
        <v>6191.666666666667</v>
      </c>
      <c r="E66" s="442">
        <f t="shared" si="40"/>
        <v>6327.166666666667</v>
      </c>
      <c r="F66" s="442">
        <f t="shared" si="40"/>
        <v>6271.666666666667</v>
      </c>
      <c r="G66" s="442">
        <f t="shared" si="40"/>
        <v>6382</v>
      </c>
      <c r="H66" s="442">
        <f t="shared" si="40"/>
        <v>6485.833333333333</v>
      </c>
      <c r="I66" s="442">
        <f t="shared" si="40"/>
        <v>7323.833333333333</v>
      </c>
      <c r="J66" s="442">
        <f t="shared" si="40"/>
        <v>8305.6666666666661</v>
      </c>
      <c r="K66" s="442">
        <f t="shared" si="40"/>
        <v>9165.5</v>
      </c>
      <c r="L66" s="442">
        <f t="shared" si="40"/>
        <v>9212.6666666666661</v>
      </c>
      <c r="M66" s="442">
        <f t="shared" si="40"/>
        <v>8168.333333333333</v>
      </c>
      <c r="N66" s="442">
        <f t="shared" si="40"/>
        <v>7976.5</v>
      </c>
      <c r="O66" s="442">
        <f t="shared" si="40"/>
        <v>8049.833333333333</v>
      </c>
      <c r="P66" s="442">
        <f t="shared" si="40"/>
        <v>7779.666666666667</v>
      </c>
      <c r="Q66" s="442">
        <f t="shared" si="40"/>
        <v>7954.333333333333</v>
      </c>
      <c r="R66" s="442">
        <f t="shared" si="40"/>
        <v>7951.666666666667</v>
      </c>
      <c r="S66" s="442">
        <f t="shared" si="40"/>
        <v>8333</v>
      </c>
      <c r="T66" s="442">
        <f t="shared" si="40"/>
        <v>9079.3333333333339</v>
      </c>
      <c r="U66" s="442">
        <f t="shared" si="40"/>
        <v>10429.833333333334</v>
      </c>
      <c r="V66" s="442">
        <f t="shared" si="40"/>
        <v>11758.5</v>
      </c>
      <c r="W66" s="442">
        <f t="shared" si="40"/>
        <v>11562.333333333334</v>
      </c>
      <c r="X66" s="442">
        <f t="shared" si="40"/>
        <v>9179.8333333333339</v>
      </c>
      <c r="Y66" s="442">
        <f t="shared" si="40"/>
        <v>7246.666666666667</v>
      </c>
      <c r="Z66" s="442">
        <f t="shared" si="40"/>
        <v>7253.333333333333</v>
      </c>
      <c r="AA66" s="442">
        <f t="shared" si="40"/>
        <v>7170</v>
      </c>
      <c r="AB66" s="442">
        <f t="shared" si="40"/>
        <v>7217.166666666667</v>
      </c>
      <c r="AC66" s="442">
        <f t="shared" si="40"/>
        <v>6998.333333333333</v>
      </c>
      <c r="AD66" s="442">
        <f t="shared" si="40"/>
        <v>7034.833333333333</v>
      </c>
      <c r="AE66" s="442">
        <f t="shared" si="40"/>
        <v>7041.166666666667</v>
      </c>
      <c r="AF66" s="442">
        <f t="shared" si="40"/>
        <v>6197.166666666667</v>
      </c>
      <c r="AG66" s="442">
        <f t="shared" si="40"/>
        <v>6108.166666666667</v>
      </c>
      <c r="AH66" s="442" t="e">
        <f t="shared" si="40"/>
        <v>#DIV/0!</v>
      </c>
      <c r="AI66" s="442" t="e">
        <f t="shared" si="40"/>
        <v>#DIV/0!</v>
      </c>
      <c r="AJ66" s="442" t="e">
        <f t="shared" si="40"/>
        <v>#DIV/0!</v>
      </c>
      <c r="AK66" s="442" t="e">
        <f t="shared" si="40"/>
        <v>#DIV/0!</v>
      </c>
      <c r="AL66" s="442" t="e">
        <f t="shared" si="40"/>
        <v>#DIV/0!</v>
      </c>
      <c r="AM66" s="442" t="e">
        <f t="shared" si="40"/>
        <v>#DIV/0!</v>
      </c>
      <c r="AN66" s="442" t="e">
        <f t="shared" si="40"/>
        <v>#DIV/0!</v>
      </c>
      <c r="AO66" s="442" t="e">
        <f t="shared" si="40"/>
        <v>#DIV/0!</v>
      </c>
      <c r="AP66" s="442" t="e">
        <f t="shared" si="40"/>
        <v>#DIV/0!</v>
      </c>
      <c r="AQ66" s="442" t="e">
        <f t="shared" si="40"/>
        <v>#DIV/0!</v>
      </c>
      <c r="AR66" s="442" t="e">
        <f t="shared" si="40"/>
        <v>#DIV/0!</v>
      </c>
      <c r="AS66" s="442" t="e">
        <f t="shared" si="40"/>
        <v>#DIV/0!</v>
      </c>
      <c r="AT66" s="442" t="e">
        <f t="shared" si="40"/>
        <v>#DIV/0!</v>
      </c>
      <c r="AU66" s="442" t="e">
        <f t="shared" si="40"/>
        <v>#DIV/0!</v>
      </c>
      <c r="AV66" s="442" t="e">
        <f t="shared" si="40"/>
        <v>#DIV/0!</v>
      </c>
      <c r="AW66" s="442" t="e">
        <f t="shared" si="40"/>
        <v>#DIV/0!</v>
      </c>
      <c r="AX66" s="442" t="e">
        <f t="shared" si="40"/>
        <v>#DIV/0!</v>
      </c>
      <c r="AY66" s="442" t="e">
        <f t="shared" si="40"/>
        <v>#DIV/0!</v>
      </c>
      <c r="AZ66" s="442" t="e">
        <f t="shared" si="40"/>
        <v>#DIV/0!</v>
      </c>
      <c r="BA66" s="442" t="e">
        <f t="shared" si="40"/>
        <v>#DIV/0!</v>
      </c>
      <c r="BB66" s="442" t="e">
        <f t="shared" si="40"/>
        <v>#DIV/0!</v>
      </c>
      <c r="BC66" s="442" t="e">
        <f t="shared" si="40"/>
        <v>#DIV/0!</v>
      </c>
      <c r="BD66" s="442" t="e">
        <f t="shared" si="40"/>
        <v>#DIV/0!</v>
      </c>
      <c r="BE66" s="442" t="e">
        <f t="shared" si="40"/>
        <v>#DIV/0!</v>
      </c>
      <c r="BF66" s="442" t="e">
        <f t="shared" si="40"/>
        <v>#DIV/0!</v>
      </c>
      <c r="BG66" s="442" t="e">
        <f t="shared" si="40"/>
        <v>#DIV/0!</v>
      </c>
      <c r="BH66" s="442" t="e">
        <f t="shared" si="40"/>
        <v>#DIV/0!</v>
      </c>
      <c r="BI66" s="442" t="e">
        <f t="shared" si="40"/>
        <v>#DIV/0!</v>
      </c>
      <c r="BJ66" s="442" t="e">
        <f t="shared" si="40"/>
        <v>#DIV/0!</v>
      </c>
      <c r="BK66" s="442" t="e">
        <f t="shared" si="40"/>
        <v>#DIV/0!</v>
      </c>
      <c r="BL66" s="442" t="e">
        <f t="shared" si="40"/>
        <v>#DIV/0!</v>
      </c>
      <c r="BM66" s="442" t="e">
        <f t="shared" si="40"/>
        <v>#DIV/0!</v>
      </c>
      <c r="BN66" s="442" t="e">
        <f t="shared" si="38"/>
        <v>#DIV/0!</v>
      </c>
      <c r="BO66" s="442" t="e">
        <f t="shared" si="39"/>
        <v>#DIV/0!</v>
      </c>
      <c r="BP66" s="442" t="e">
        <f t="shared" si="39"/>
        <v>#DIV/0!</v>
      </c>
      <c r="BQ66" s="442" t="e">
        <f t="shared" si="39"/>
        <v>#DIV/0!</v>
      </c>
      <c r="BR66" s="442" t="e">
        <f t="shared" si="39"/>
        <v>#DIV/0!</v>
      </c>
      <c r="BS66" s="431" t="e">
        <f t="shared" si="39"/>
        <v>#DIV/0!</v>
      </c>
      <c r="FY66" s="433"/>
      <c r="GE66" s="433"/>
    </row>
    <row r="67" spans="1:187">
      <c r="A67" s="231" t="s">
        <v>243</v>
      </c>
      <c r="B67" s="348">
        <f t="shared" si="40"/>
        <v>603.66666666666663</v>
      </c>
      <c r="C67" s="348">
        <f t="shared" si="40"/>
        <v>583.66666666666663</v>
      </c>
      <c r="D67" s="348">
        <f t="shared" si="40"/>
        <v>568.33333333333337</v>
      </c>
      <c r="E67" s="348">
        <f t="shared" si="40"/>
        <v>557.5</v>
      </c>
      <c r="F67" s="348">
        <f t="shared" si="40"/>
        <v>537.33333333333337</v>
      </c>
      <c r="G67" s="348">
        <f t="shared" si="40"/>
        <v>550.83333333333337</v>
      </c>
      <c r="H67" s="348">
        <f t="shared" si="40"/>
        <v>527.16666666666663</v>
      </c>
      <c r="I67" s="348">
        <f t="shared" si="40"/>
        <v>562</v>
      </c>
      <c r="J67" s="348">
        <f t="shared" si="40"/>
        <v>545.5</v>
      </c>
      <c r="K67" s="348">
        <f t="shared" si="40"/>
        <v>615</v>
      </c>
      <c r="L67" s="348">
        <f t="shared" si="40"/>
        <v>659.66666666666663</v>
      </c>
      <c r="M67" s="348">
        <f t="shared" si="40"/>
        <v>653.5</v>
      </c>
      <c r="N67" s="348">
        <f t="shared" si="40"/>
        <v>610.66666666666663</v>
      </c>
      <c r="O67" s="348">
        <f t="shared" si="40"/>
        <v>616.66666666666663</v>
      </c>
      <c r="P67" s="348">
        <f t="shared" si="40"/>
        <v>658.33333333333337</v>
      </c>
      <c r="Q67" s="348">
        <f t="shared" si="40"/>
        <v>717.83333333333337</v>
      </c>
      <c r="R67" s="348">
        <f t="shared" si="40"/>
        <v>717.16666666666663</v>
      </c>
      <c r="S67" s="348">
        <f t="shared" si="40"/>
        <v>732.66666666666663</v>
      </c>
      <c r="T67" s="348">
        <f t="shared" si="40"/>
        <v>745.5</v>
      </c>
      <c r="U67" s="348">
        <f t="shared" si="40"/>
        <v>676.66666666666663</v>
      </c>
      <c r="V67" s="348">
        <f t="shared" si="40"/>
        <v>638</v>
      </c>
      <c r="W67" s="348">
        <f t="shared" si="40"/>
        <v>699</v>
      </c>
      <c r="X67" s="348">
        <f t="shared" si="40"/>
        <v>734.5</v>
      </c>
      <c r="Y67" s="348">
        <f t="shared" si="40"/>
        <v>741.16666666666663</v>
      </c>
      <c r="Z67" s="348">
        <f t="shared" si="40"/>
        <v>717</v>
      </c>
      <c r="AA67" s="348">
        <f t="shared" si="40"/>
        <v>690</v>
      </c>
      <c r="AB67" s="348">
        <f t="shared" si="40"/>
        <v>739.33333333333337</v>
      </c>
      <c r="AC67" s="348">
        <f t="shared" si="40"/>
        <v>801.5</v>
      </c>
      <c r="AD67" s="348">
        <f t="shared" si="40"/>
        <v>810.16666666666663</v>
      </c>
      <c r="AE67" s="348">
        <f t="shared" si="40"/>
        <v>883</v>
      </c>
      <c r="AF67" s="348">
        <f t="shared" si="40"/>
        <v>815</v>
      </c>
      <c r="AG67" s="348">
        <f t="shared" si="40"/>
        <v>785.5</v>
      </c>
      <c r="AH67" s="348" t="e">
        <f t="shared" si="40"/>
        <v>#DIV/0!</v>
      </c>
      <c r="AI67" s="348" t="e">
        <f t="shared" si="40"/>
        <v>#DIV/0!</v>
      </c>
      <c r="AJ67" s="348" t="e">
        <f t="shared" si="40"/>
        <v>#DIV/0!</v>
      </c>
      <c r="AK67" s="348" t="e">
        <f t="shared" si="40"/>
        <v>#DIV/0!</v>
      </c>
      <c r="AL67" s="348" t="e">
        <f t="shared" si="40"/>
        <v>#DIV/0!</v>
      </c>
      <c r="AM67" s="348" t="e">
        <f t="shared" si="40"/>
        <v>#DIV/0!</v>
      </c>
      <c r="AN67" s="348" t="e">
        <f t="shared" si="40"/>
        <v>#DIV/0!</v>
      </c>
      <c r="AO67" s="348" t="e">
        <f t="shared" si="40"/>
        <v>#DIV/0!</v>
      </c>
      <c r="AP67" s="348" t="e">
        <f t="shared" si="40"/>
        <v>#DIV/0!</v>
      </c>
      <c r="AQ67" s="348" t="e">
        <f t="shared" si="40"/>
        <v>#DIV/0!</v>
      </c>
      <c r="AR67" s="348" t="e">
        <f t="shared" si="40"/>
        <v>#DIV/0!</v>
      </c>
      <c r="AS67" s="348" t="e">
        <f t="shared" si="40"/>
        <v>#DIV/0!</v>
      </c>
      <c r="AT67" s="348" t="e">
        <f t="shared" si="40"/>
        <v>#DIV/0!</v>
      </c>
      <c r="AU67" s="348" t="e">
        <f t="shared" si="40"/>
        <v>#DIV/0!</v>
      </c>
      <c r="AV67" s="348" t="e">
        <f t="shared" si="40"/>
        <v>#DIV/0!</v>
      </c>
      <c r="AW67" s="348" t="e">
        <f t="shared" si="40"/>
        <v>#DIV/0!</v>
      </c>
      <c r="AX67" s="348" t="e">
        <f t="shared" si="40"/>
        <v>#DIV/0!</v>
      </c>
      <c r="AY67" s="348" t="e">
        <f t="shared" si="40"/>
        <v>#DIV/0!</v>
      </c>
      <c r="AZ67" s="348" t="e">
        <f t="shared" si="40"/>
        <v>#DIV/0!</v>
      </c>
      <c r="BA67" s="348" t="e">
        <f t="shared" si="40"/>
        <v>#DIV/0!</v>
      </c>
      <c r="BB67" s="348" t="e">
        <f t="shared" si="40"/>
        <v>#DIV/0!</v>
      </c>
      <c r="BC67" s="348" t="e">
        <f t="shared" si="40"/>
        <v>#DIV/0!</v>
      </c>
      <c r="BD67" s="348" t="e">
        <f t="shared" si="40"/>
        <v>#DIV/0!</v>
      </c>
      <c r="BE67" s="348" t="e">
        <f t="shared" si="40"/>
        <v>#DIV/0!</v>
      </c>
      <c r="BF67" s="348" t="e">
        <f t="shared" si="40"/>
        <v>#DIV/0!</v>
      </c>
      <c r="BG67" s="348" t="e">
        <f t="shared" si="40"/>
        <v>#DIV/0!</v>
      </c>
      <c r="BH67" s="348" t="e">
        <f t="shared" si="40"/>
        <v>#DIV/0!</v>
      </c>
      <c r="BI67" s="348" t="e">
        <f t="shared" si="40"/>
        <v>#DIV/0!</v>
      </c>
      <c r="BJ67" s="348" t="e">
        <f t="shared" si="40"/>
        <v>#DIV/0!</v>
      </c>
      <c r="BK67" s="348" t="e">
        <f t="shared" si="40"/>
        <v>#DIV/0!</v>
      </c>
      <c r="BL67" s="348" t="e">
        <f t="shared" si="40"/>
        <v>#DIV/0!</v>
      </c>
      <c r="BM67" s="348" t="e">
        <f t="shared" si="40"/>
        <v>#DIV/0!</v>
      </c>
      <c r="BN67" s="348" t="e">
        <f t="shared" si="38"/>
        <v>#DIV/0!</v>
      </c>
      <c r="BO67" s="348" t="e">
        <f t="shared" si="39"/>
        <v>#DIV/0!</v>
      </c>
      <c r="BP67" s="348" t="e">
        <f t="shared" si="39"/>
        <v>#DIV/0!</v>
      </c>
      <c r="BQ67" s="348" t="e">
        <f t="shared" si="39"/>
        <v>#DIV/0!</v>
      </c>
      <c r="BR67" s="348" t="e">
        <f t="shared" si="39"/>
        <v>#DIV/0!</v>
      </c>
      <c r="BS67" s="24" t="e">
        <f t="shared" si="39"/>
        <v>#DIV/0!</v>
      </c>
      <c r="FY67" s="433"/>
      <c r="GE67" s="433"/>
    </row>
    <row r="68" spans="1:187">
      <c r="A68" s="231" t="s">
        <v>245</v>
      </c>
      <c r="B68" s="442">
        <f t="shared" si="40"/>
        <v>646.83333333333337</v>
      </c>
      <c r="C68" s="442">
        <f t="shared" si="40"/>
        <v>686.16666666666663</v>
      </c>
      <c r="D68" s="442">
        <f t="shared" si="40"/>
        <v>489.16666666666669</v>
      </c>
      <c r="E68" s="442">
        <f t="shared" si="40"/>
        <v>293.66666666666669</v>
      </c>
      <c r="F68" s="442">
        <f t="shared" si="40"/>
        <v>285.16666666666669</v>
      </c>
      <c r="G68" s="442">
        <f t="shared" si="40"/>
        <v>284.16666666666669</v>
      </c>
      <c r="H68" s="442">
        <f t="shared" si="40"/>
        <v>275.5</v>
      </c>
      <c r="I68" s="442">
        <f t="shared" si="40"/>
        <v>335</v>
      </c>
      <c r="J68" s="442">
        <f t="shared" si="40"/>
        <v>335.33333333333331</v>
      </c>
      <c r="K68" s="442">
        <f t="shared" si="40"/>
        <v>379</v>
      </c>
      <c r="L68" s="442">
        <f t="shared" si="40"/>
        <v>413.66666666666669</v>
      </c>
      <c r="M68" s="442">
        <f t="shared" si="40"/>
        <v>506</v>
      </c>
      <c r="N68" s="442">
        <f t="shared" si="40"/>
        <v>531.16666666666663</v>
      </c>
      <c r="O68" s="442">
        <f t="shared" si="40"/>
        <v>600.33333333333337</v>
      </c>
      <c r="P68" s="442">
        <f t="shared" si="40"/>
        <v>618.83333333333337</v>
      </c>
      <c r="Q68" s="442">
        <f t="shared" si="40"/>
        <v>631.66666666666663</v>
      </c>
      <c r="R68" s="442">
        <f t="shared" si="40"/>
        <v>617.33333333333337</v>
      </c>
      <c r="S68" s="442">
        <f t="shared" si="40"/>
        <v>543.33333333333337</v>
      </c>
      <c r="T68" s="442">
        <f t="shared" si="40"/>
        <v>626.33333333333337</v>
      </c>
      <c r="U68" s="442">
        <f t="shared" si="40"/>
        <v>652.66666666666663</v>
      </c>
      <c r="V68" s="442">
        <f t="shared" si="40"/>
        <v>648.16666666666663</v>
      </c>
      <c r="W68" s="442">
        <f t="shared" si="40"/>
        <v>833</v>
      </c>
      <c r="X68" s="442">
        <f t="shared" si="40"/>
        <v>889.83333333333337</v>
      </c>
      <c r="Y68" s="442">
        <f t="shared" si="40"/>
        <v>872.66666666666663</v>
      </c>
      <c r="Z68" s="442">
        <f t="shared" si="40"/>
        <v>899.83333333333337</v>
      </c>
      <c r="AA68" s="442">
        <f t="shared" si="40"/>
        <v>917.33333333333337</v>
      </c>
      <c r="AB68" s="442">
        <f t="shared" si="40"/>
        <v>891</v>
      </c>
      <c r="AC68" s="442">
        <f t="shared" si="40"/>
        <v>978</v>
      </c>
      <c r="AD68" s="442">
        <f t="shared" si="40"/>
        <v>765.16666666666663</v>
      </c>
      <c r="AE68" s="442">
        <f t="shared" si="40"/>
        <v>711.83333333333337</v>
      </c>
      <c r="AF68" s="442">
        <f t="shared" si="40"/>
        <v>700.33333333333337</v>
      </c>
      <c r="AG68" s="442">
        <f t="shared" si="40"/>
        <v>757.5</v>
      </c>
      <c r="AH68" s="442" t="e">
        <f t="shared" si="40"/>
        <v>#DIV/0!</v>
      </c>
      <c r="AI68" s="442" t="e">
        <f t="shared" si="40"/>
        <v>#DIV/0!</v>
      </c>
      <c r="AJ68" s="442" t="e">
        <f t="shared" si="40"/>
        <v>#DIV/0!</v>
      </c>
      <c r="AK68" s="442" t="e">
        <f t="shared" si="40"/>
        <v>#DIV/0!</v>
      </c>
      <c r="AL68" s="442" t="e">
        <f t="shared" si="40"/>
        <v>#DIV/0!</v>
      </c>
      <c r="AM68" s="442" t="e">
        <f t="shared" si="40"/>
        <v>#DIV/0!</v>
      </c>
      <c r="AN68" s="442" t="e">
        <f t="shared" si="40"/>
        <v>#DIV/0!</v>
      </c>
      <c r="AO68" s="442" t="e">
        <f t="shared" si="40"/>
        <v>#DIV/0!</v>
      </c>
      <c r="AP68" s="442" t="e">
        <f t="shared" si="40"/>
        <v>#DIV/0!</v>
      </c>
      <c r="AQ68" s="442" t="e">
        <f t="shared" si="40"/>
        <v>#DIV/0!</v>
      </c>
      <c r="AR68" s="442" t="e">
        <f t="shared" si="40"/>
        <v>#DIV/0!</v>
      </c>
      <c r="AS68" s="442" t="e">
        <f t="shared" si="40"/>
        <v>#DIV/0!</v>
      </c>
      <c r="AT68" s="442" t="e">
        <f t="shared" si="40"/>
        <v>#DIV/0!</v>
      </c>
      <c r="AU68" s="442" t="e">
        <f t="shared" si="40"/>
        <v>#DIV/0!</v>
      </c>
      <c r="AV68" s="442" t="e">
        <f t="shared" si="40"/>
        <v>#DIV/0!</v>
      </c>
      <c r="AW68" s="442" t="e">
        <f t="shared" si="40"/>
        <v>#DIV/0!</v>
      </c>
      <c r="AX68" s="442" t="e">
        <f t="shared" si="40"/>
        <v>#DIV/0!</v>
      </c>
      <c r="AY68" s="442" t="e">
        <f t="shared" si="40"/>
        <v>#DIV/0!</v>
      </c>
      <c r="AZ68" s="442" t="e">
        <f t="shared" si="40"/>
        <v>#DIV/0!</v>
      </c>
      <c r="BA68" s="442" t="e">
        <f t="shared" si="40"/>
        <v>#DIV/0!</v>
      </c>
      <c r="BB68" s="442" t="e">
        <f t="shared" si="40"/>
        <v>#DIV/0!</v>
      </c>
      <c r="BC68" s="442" t="e">
        <f t="shared" si="40"/>
        <v>#DIV/0!</v>
      </c>
      <c r="BD68" s="442" t="e">
        <f t="shared" si="40"/>
        <v>#DIV/0!</v>
      </c>
      <c r="BE68" s="442" t="e">
        <f t="shared" si="40"/>
        <v>#DIV/0!</v>
      </c>
      <c r="BF68" s="442" t="e">
        <f t="shared" si="40"/>
        <v>#DIV/0!</v>
      </c>
      <c r="BG68" s="442" t="e">
        <f t="shared" si="40"/>
        <v>#DIV/0!</v>
      </c>
      <c r="BH68" s="442" t="e">
        <f t="shared" si="40"/>
        <v>#DIV/0!</v>
      </c>
      <c r="BI68" s="442" t="e">
        <f t="shared" si="40"/>
        <v>#DIV/0!</v>
      </c>
      <c r="BJ68" s="442" t="e">
        <f t="shared" si="40"/>
        <v>#DIV/0!</v>
      </c>
      <c r="BK68" s="442" t="e">
        <f t="shared" si="40"/>
        <v>#DIV/0!</v>
      </c>
      <c r="BL68" s="442" t="e">
        <f t="shared" si="40"/>
        <v>#DIV/0!</v>
      </c>
      <c r="BM68" s="442" t="e">
        <f t="shared" si="40"/>
        <v>#DIV/0!</v>
      </c>
      <c r="BN68" s="442" t="e">
        <f t="shared" si="38"/>
        <v>#DIV/0!</v>
      </c>
      <c r="BO68" s="442" t="e">
        <f t="shared" si="39"/>
        <v>#DIV/0!</v>
      </c>
      <c r="BP68" s="442" t="e">
        <f t="shared" si="39"/>
        <v>#DIV/0!</v>
      </c>
      <c r="BQ68" s="442" t="e">
        <f t="shared" si="39"/>
        <v>#DIV/0!</v>
      </c>
      <c r="BR68" s="442" t="e">
        <f t="shared" si="39"/>
        <v>#DIV/0!</v>
      </c>
      <c r="BS68" s="431" t="e">
        <f t="shared" si="39"/>
        <v>#DIV/0!</v>
      </c>
      <c r="FY68" s="433"/>
      <c r="GE68" s="433"/>
    </row>
    <row r="69" spans="1:187">
      <c r="A69" s="231" t="s">
        <v>242</v>
      </c>
      <c r="B69" s="348">
        <f t="shared" si="40"/>
        <v>978.66666666666663</v>
      </c>
      <c r="C69" s="348">
        <f t="shared" si="40"/>
        <v>1144.8333333333333</v>
      </c>
      <c r="D69" s="348">
        <f t="shared" si="40"/>
        <v>1202.6666666666667</v>
      </c>
      <c r="E69" s="348">
        <f t="shared" si="40"/>
        <v>1252.8333333333333</v>
      </c>
      <c r="F69" s="348">
        <f t="shared" si="40"/>
        <v>1168</v>
      </c>
      <c r="G69" s="348">
        <f t="shared" si="40"/>
        <v>1199</v>
      </c>
      <c r="H69" s="348">
        <f t="shared" si="40"/>
        <v>1371</v>
      </c>
      <c r="I69" s="348">
        <f t="shared" si="40"/>
        <v>1553.3333333333333</v>
      </c>
      <c r="J69" s="348">
        <f t="shared" si="40"/>
        <v>1815.8333333333333</v>
      </c>
      <c r="K69" s="348">
        <f t="shared" si="40"/>
        <v>1810</v>
      </c>
      <c r="L69" s="348">
        <f t="shared" si="40"/>
        <v>1742.3333333333333</v>
      </c>
      <c r="M69" s="348">
        <f t="shared" si="40"/>
        <v>2139.6666666666665</v>
      </c>
      <c r="N69" s="348">
        <f t="shared" si="40"/>
        <v>2169.3333333333335</v>
      </c>
      <c r="O69" s="348">
        <f t="shared" si="40"/>
        <v>2531</v>
      </c>
      <c r="P69" s="348">
        <f t="shared" si="40"/>
        <v>2654.6666666666665</v>
      </c>
      <c r="Q69" s="348">
        <f t="shared" si="40"/>
        <v>2845.5</v>
      </c>
      <c r="R69" s="348">
        <f t="shared" si="40"/>
        <v>1807.3333333333333</v>
      </c>
      <c r="S69" s="348">
        <f t="shared" si="40"/>
        <v>1327</v>
      </c>
      <c r="T69" s="348">
        <f t="shared" si="40"/>
        <v>1274.8333333333333</v>
      </c>
      <c r="U69" s="348">
        <f t="shared" si="40"/>
        <v>1657.3333333333333</v>
      </c>
      <c r="V69" s="348">
        <f t="shared" si="40"/>
        <v>1816.3333333333333</v>
      </c>
      <c r="W69" s="348">
        <f t="shared" si="40"/>
        <v>2134.6666666666665</v>
      </c>
      <c r="X69" s="348">
        <f t="shared" si="40"/>
        <v>2577.6666666666665</v>
      </c>
      <c r="Y69" s="348">
        <f t="shared" si="40"/>
        <v>2904</v>
      </c>
      <c r="Z69" s="348">
        <f t="shared" si="40"/>
        <v>2280.3333333333335</v>
      </c>
      <c r="AA69" s="348">
        <f t="shared" si="40"/>
        <v>1596.3333333333333</v>
      </c>
      <c r="AB69" s="348">
        <f t="shared" si="40"/>
        <v>1457.6666666666667</v>
      </c>
      <c r="AC69" s="348">
        <f t="shared" si="40"/>
        <v>1379.8333333333333</v>
      </c>
      <c r="AD69" s="348">
        <f t="shared" si="40"/>
        <v>1219.1666666666667</v>
      </c>
      <c r="AE69" s="348">
        <f t="shared" si="40"/>
        <v>907.16666666666663</v>
      </c>
      <c r="AF69" s="348">
        <f t="shared" si="40"/>
        <v>785.5</v>
      </c>
      <c r="AG69" s="348">
        <f t="shared" si="40"/>
        <v>749.66666666666663</v>
      </c>
      <c r="AH69" s="348" t="e">
        <f t="shared" si="40"/>
        <v>#DIV/0!</v>
      </c>
      <c r="AI69" s="348" t="e">
        <f t="shared" si="40"/>
        <v>#DIV/0!</v>
      </c>
      <c r="AJ69" s="348" t="e">
        <f t="shared" si="40"/>
        <v>#DIV/0!</v>
      </c>
      <c r="AK69" s="348" t="e">
        <f t="shared" si="40"/>
        <v>#DIV/0!</v>
      </c>
      <c r="AL69" s="348" t="e">
        <f t="shared" si="40"/>
        <v>#DIV/0!</v>
      </c>
      <c r="AM69" s="348" t="e">
        <f t="shared" si="40"/>
        <v>#DIV/0!</v>
      </c>
      <c r="AN69" s="348" t="e">
        <f t="shared" si="40"/>
        <v>#DIV/0!</v>
      </c>
      <c r="AO69" s="348" t="e">
        <f t="shared" si="40"/>
        <v>#DIV/0!</v>
      </c>
      <c r="AP69" s="348" t="e">
        <f t="shared" si="40"/>
        <v>#DIV/0!</v>
      </c>
      <c r="AQ69" s="348" t="e">
        <f t="shared" si="40"/>
        <v>#DIV/0!</v>
      </c>
      <c r="AR69" s="348" t="e">
        <f t="shared" si="40"/>
        <v>#DIV/0!</v>
      </c>
      <c r="AS69" s="348" t="e">
        <f t="shared" si="40"/>
        <v>#DIV/0!</v>
      </c>
      <c r="AT69" s="348" t="e">
        <f t="shared" si="40"/>
        <v>#DIV/0!</v>
      </c>
      <c r="AU69" s="348" t="e">
        <f t="shared" si="40"/>
        <v>#DIV/0!</v>
      </c>
      <c r="AV69" s="348" t="e">
        <f t="shared" si="40"/>
        <v>#DIV/0!</v>
      </c>
      <c r="AW69" s="348" t="e">
        <f t="shared" si="40"/>
        <v>#DIV/0!</v>
      </c>
      <c r="AX69" s="348" t="e">
        <f t="shared" si="40"/>
        <v>#DIV/0!</v>
      </c>
      <c r="AY69" s="348" t="e">
        <f t="shared" si="40"/>
        <v>#DIV/0!</v>
      </c>
      <c r="AZ69" s="348" t="e">
        <f t="shared" si="40"/>
        <v>#DIV/0!</v>
      </c>
      <c r="BA69" s="348" t="e">
        <f t="shared" si="40"/>
        <v>#DIV/0!</v>
      </c>
      <c r="BB69" s="348" t="e">
        <f t="shared" si="40"/>
        <v>#DIV/0!</v>
      </c>
      <c r="BC69" s="348" t="e">
        <f t="shared" si="40"/>
        <v>#DIV/0!</v>
      </c>
      <c r="BD69" s="348" t="e">
        <f t="shared" si="40"/>
        <v>#DIV/0!</v>
      </c>
      <c r="BE69" s="348" t="e">
        <f t="shared" si="40"/>
        <v>#DIV/0!</v>
      </c>
      <c r="BF69" s="348" t="e">
        <f t="shared" si="40"/>
        <v>#DIV/0!</v>
      </c>
      <c r="BG69" s="348" t="e">
        <f t="shared" si="40"/>
        <v>#DIV/0!</v>
      </c>
      <c r="BH69" s="348" t="e">
        <f t="shared" si="40"/>
        <v>#DIV/0!</v>
      </c>
      <c r="BI69" s="348" t="e">
        <f t="shared" si="40"/>
        <v>#DIV/0!</v>
      </c>
      <c r="BJ69" s="348" t="e">
        <f t="shared" si="40"/>
        <v>#DIV/0!</v>
      </c>
      <c r="BK69" s="348" t="e">
        <f t="shared" si="40"/>
        <v>#DIV/0!</v>
      </c>
      <c r="BL69" s="348" t="e">
        <f t="shared" si="40"/>
        <v>#DIV/0!</v>
      </c>
      <c r="BM69" s="348" t="e">
        <f t="shared" ref="BM69" si="41">AVERAGEIFS($B51:$XX51,$B$63:$XX$63,RIGHT(LEFT(BM$64,2),1),$B$62:$XX$62,RIGHT(BM$64,4))</f>
        <v>#DIV/0!</v>
      </c>
      <c r="BN69" s="348" t="e">
        <f t="shared" si="38"/>
        <v>#DIV/0!</v>
      </c>
      <c r="BO69" s="348" t="e">
        <f t="shared" si="39"/>
        <v>#DIV/0!</v>
      </c>
      <c r="BP69" s="348" t="e">
        <f t="shared" si="39"/>
        <v>#DIV/0!</v>
      </c>
      <c r="BQ69" s="348" t="e">
        <f t="shared" si="39"/>
        <v>#DIV/0!</v>
      </c>
      <c r="BR69" s="348" t="e">
        <f t="shared" si="39"/>
        <v>#DIV/0!</v>
      </c>
      <c r="BS69" s="24" t="e">
        <f t="shared" si="39"/>
        <v>#DIV/0!</v>
      </c>
      <c r="FY69" s="433"/>
      <c r="GE69" s="433"/>
    </row>
    <row r="70" spans="1:187">
      <c r="A70" s="231" t="s">
        <v>15</v>
      </c>
      <c r="B70" s="442">
        <f t="shared" ref="B70:BM73" si="42">AVERAGEIFS($B52:$XX52,$B$63:$XX$63,RIGHT(LEFT(B$64,2),1),$B$62:$XX$62,RIGHT(B$64,4))</f>
        <v>13814.5</v>
      </c>
      <c r="C70" s="442">
        <f t="shared" si="42"/>
        <v>13519.833333333334</v>
      </c>
      <c r="D70" s="442">
        <f t="shared" si="42"/>
        <v>13169</v>
      </c>
      <c r="E70" s="442">
        <f t="shared" si="42"/>
        <v>13667</v>
      </c>
      <c r="F70" s="442">
        <f t="shared" si="42"/>
        <v>13047</v>
      </c>
      <c r="G70" s="442">
        <f t="shared" si="42"/>
        <v>13581.5</v>
      </c>
      <c r="H70" s="442">
        <f t="shared" si="42"/>
        <v>14033.166666666666</v>
      </c>
      <c r="I70" s="442">
        <f t="shared" si="42"/>
        <v>13559.333333333334</v>
      </c>
      <c r="J70" s="442">
        <f t="shared" si="42"/>
        <v>12331.333333333334</v>
      </c>
      <c r="K70" s="442">
        <f t="shared" si="42"/>
        <v>12350</v>
      </c>
      <c r="L70" s="442">
        <f t="shared" si="42"/>
        <v>12392.333333333334</v>
      </c>
      <c r="M70" s="442">
        <f t="shared" si="42"/>
        <v>13130.333333333334</v>
      </c>
      <c r="N70" s="442">
        <f t="shared" si="42"/>
        <v>13812</v>
      </c>
      <c r="O70" s="442">
        <f t="shared" si="42"/>
        <v>14561</v>
      </c>
      <c r="P70" s="442">
        <f t="shared" si="42"/>
        <v>15221.833333333334</v>
      </c>
      <c r="Q70" s="442">
        <f t="shared" si="42"/>
        <v>15889.5</v>
      </c>
      <c r="R70" s="442">
        <f t="shared" si="42"/>
        <v>17431</v>
      </c>
      <c r="S70" s="442">
        <f t="shared" si="42"/>
        <v>16141.666666666666</v>
      </c>
      <c r="T70" s="442">
        <f t="shared" si="42"/>
        <v>16619.833333333332</v>
      </c>
      <c r="U70" s="442">
        <f t="shared" si="42"/>
        <v>17225.833333333332</v>
      </c>
      <c r="V70" s="442">
        <f t="shared" si="42"/>
        <v>18108.666666666668</v>
      </c>
      <c r="W70" s="442">
        <f t="shared" si="42"/>
        <v>20280.5</v>
      </c>
      <c r="X70" s="442">
        <f t="shared" si="42"/>
        <v>21425.833333333332</v>
      </c>
      <c r="Y70" s="442">
        <f t="shared" si="42"/>
        <v>22002.5</v>
      </c>
      <c r="Z70" s="442">
        <f t="shared" si="42"/>
        <v>21389.166666666668</v>
      </c>
      <c r="AA70" s="442">
        <f t="shared" si="42"/>
        <v>18649.833333333332</v>
      </c>
      <c r="AB70" s="442">
        <f t="shared" si="42"/>
        <v>16514.5</v>
      </c>
      <c r="AC70" s="442">
        <f t="shared" si="42"/>
        <v>16948.166666666668</v>
      </c>
      <c r="AD70" s="442">
        <f t="shared" si="42"/>
        <v>17337.166666666668</v>
      </c>
      <c r="AE70" s="442">
        <f t="shared" si="42"/>
        <v>18542</v>
      </c>
      <c r="AF70" s="442">
        <f t="shared" si="42"/>
        <v>20171.833333333332</v>
      </c>
      <c r="AG70" s="442">
        <f t="shared" si="42"/>
        <v>21413.166666666668</v>
      </c>
      <c r="AH70" s="442" t="e">
        <f t="shared" si="42"/>
        <v>#DIV/0!</v>
      </c>
      <c r="AI70" s="442" t="e">
        <f t="shared" si="42"/>
        <v>#DIV/0!</v>
      </c>
      <c r="AJ70" s="442" t="e">
        <f t="shared" si="42"/>
        <v>#DIV/0!</v>
      </c>
      <c r="AK70" s="442" t="e">
        <f t="shared" si="42"/>
        <v>#DIV/0!</v>
      </c>
      <c r="AL70" s="442" t="e">
        <f t="shared" si="42"/>
        <v>#DIV/0!</v>
      </c>
      <c r="AM70" s="442" t="e">
        <f t="shared" si="42"/>
        <v>#DIV/0!</v>
      </c>
      <c r="AN70" s="442" t="e">
        <f t="shared" si="42"/>
        <v>#DIV/0!</v>
      </c>
      <c r="AO70" s="442" t="e">
        <f t="shared" si="42"/>
        <v>#DIV/0!</v>
      </c>
      <c r="AP70" s="442" t="e">
        <f t="shared" si="42"/>
        <v>#DIV/0!</v>
      </c>
      <c r="AQ70" s="442" t="e">
        <f t="shared" si="42"/>
        <v>#DIV/0!</v>
      </c>
      <c r="AR70" s="442" t="e">
        <f t="shared" si="42"/>
        <v>#DIV/0!</v>
      </c>
      <c r="AS70" s="442" t="e">
        <f t="shared" si="42"/>
        <v>#DIV/0!</v>
      </c>
      <c r="AT70" s="442" t="e">
        <f t="shared" si="42"/>
        <v>#DIV/0!</v>
      </c>
      <c r="AU70" s="442" t="e">
        <f t="shared" si="42"/>
        <v>#DIV/0!</v>
      </c>
      <c r="AV70" s="442" t="e">
        <f t="shared" si="42"/>
        <v>#DIV/0!</v>
      </c>
      <c r="AW70" s="442" t="e">
        <f t="shared" si="42"/>
        <v>#DIV/0!</v>
      </c>
      <c r="AX70" s="442" t="e">
        <f t="shared" si="42"/>
        <v>#DIV/0!</v>
      </c>
      <c r="AY70" s="442" t="e">
        <f t="shared" si="42"/>
        <v>#DIV/0!</v>
      </c>
      <c r="AZ70" s="442" t="e">
        <f t="shared" si="42"/>
        <v>#DIV/0!</v>
      </c>
      <c r="BA70" s="442" t="e">
        <f t="shared" si="42"/>
        <v>#DIV/0!</v>
      </c>
      <c r="BB70" s="442" t="e">
        <f t="shared" si="42"/>
        <v>#DIV/0!</v>
      </c>
      <c r="BC70" s="442" t="e">
        <f t="shared" si="42"/>
        <v>#DIV/0!</v>
      </c>
      <c r="BD70" s="442" t="e">
        <f t="shared" si="42"/>
        <v>#DIV/0!</v>
      </c>
      <c r="BE70" s="442" t="e">
        <f t="shared" si="42"/>
        <v>#DIV/0!</v>
      </c>
      <c r="BF70" s="442" t="e">
        <f t="shared" si="42"/>
        <v>#DIV/0!</v>
      </c>
      <c r="BG70" s="442" t="e">
        <f t="shared" si="42"/>
        <v>#DIV/0!</v>
      </c>
      <c r="BH70" s="442" t="e">
        <f t="shared" si="42"/>
        <v>#DIV/0!</v>
      </c>
      <c r="BI70" s="442" t="e">
        <f t="shared" si="42"/>
        <v>#DIV/0!</v>
      </c>
      <c r="BJ70" s="442" t="e">
        <f t="shared" si="42"/>
        <v>#DIV/0!</v>
      </c>
      <c r="BK70" s="442" t="e">
        <f t="shared" si="42"/>
        <v>#DIV/0!</v>
      </c>
      <c r="BL70" s="442" t="e">
        <f t="shared" si="42"/>
        <v>#DIV/0!</v>
      </c>
      <c r="BM70" s="442" t="e">
        <f t="shared" si="42"/>
        <v>#DIV/0!</v>
      </c>
      <c r="BN70" s="442" t="e">
        <f t="shared" si="38"/>
        <v>#DIV/0!</v>
      </c>
      <c r="BO70" s="442" t="e">
        <f t="shared" si="39"/>
        <v>#DIV/0!</v>
      </c>
      <c r="BP70" s="442" t="e">
        <f t="shared" si="39"/>
        <v>#DIV/0!</v>
      </c>
      <c r="BQ70" s="442" t="e">
        <f t="shared" si="39"/>
        <v>#DIV/0!</v>
      </c>
      <c r="BR70" s="442" t="e">
        <f t="shared" si="39"/>
        <v>#DIV/0!</v>
      </c>
      <c r="BS70" s="431" t="e">
        <f t="shared" si="39"/>
        <v>#DIV/0!</v>
      </c>
      <c r="FY70" s="433"/>
      <c r="GE70" s="433"/>
    </row>
    <row r="71" spans="1:187">
      <c r="A71" s="231" t="s">
        <v>345</v>
      </c>
      <c r="B71" s="348">
        <f t="shared" si="42"/>
        <v>2343.8333333333335</v>
      </c>
      <c r="C71" s="348">
        <f t="shared" si="42"/>
        <v>2350.6666666666665</v>
      </c>
      <c r="D71" s="348">
        <f t="shared" si="42"/>
        <v>2353.1666666666665</v>
      </c>
      <c r="E71" s="348">
        <f t="shared" si="42"/>
        <v>2020.3333333333333</v>
      </c>
      <c r="F71" s="348">
        <f t="shared" si="42"/>
        <v>2059.8333333333335</v>
      </c>
      <c r="G71" s="348">
        <f t="shared" si="42"/>
        <v>2210.3333333333335</v>
      </c>
      <c r="H71" s="348">
        <f t="shared" si="42"/>
        <v>2335.3333333333335</v>
      </c>
      <c r="I71" s="348">
        <f t="shared" si="42"/>
        <v>2290.8333333333335</v>
      </c>
      <c r="J71" s="348">
        <f t="shared" si="42"/>
        <v>2130.6666666666665</v>
      </c>
      <c r="K71" s="348">
        <f t="shared" si="42"/>
        <v>2346.1666666666665</v>
      </c>
      <c r="L71" s="348">
        <f t="shared" si="42"/>
        <v>2585</v>
      </c>
      <c r="M71" s="348">
        <f t="shared" si="42"/>
        <v>2376</v>
      </c>
      <c r="N71" s="348">
        <f t="shared" si="42"/>
        <v>2513</v>
      </c>
      <c r="O71" s="348">
        <f t="shared" si="42"/>
        <v>2331.3333333333335</v>
      </c>
      <c r="P71" s="348">
        <f t="shared" si="42"/>
        <v>2396.5</v>
      </c>
      <c r="Q71" s="348">
        <f t="shared" si="42"/>
        <v>2220.1666666666665</v>
      </c>
      <c r="R71" s="348">
        <f t="shared" si="42"/>
        <v>2147.1666666666665</v>
      </c>
      <c r="S71" s="348">
        <f t="shared" si="42"/>
        <v>1669.1666666666667</v>
      </c>
      <c r="T71" s="348">
        <f t="shared" si="42"/>
        <v>1544</v>
      </c>
      <c r="U71" s="348">
        <f t="shared" si="42"/>
        <v>1351</v>
      </c>
      <c r="V71" s="348">
        <f t="shared" si="42"/>
        <v>1454</v>
      </c>
      <c r="W71" s="348">
        <f t="shared" si="42"/>
        <v>1723.6666666666667</v>
      </c>
      <c r="X71" s="348">
        <f t="shared" si="42"/>
        <v>2036.1666666666667</v>
      </c>
      <c r="Y71" s="348">
        <f t="shared" si="42"/>
        <v>1722</v>
      </c>
      <c r="Z71" s="348">
        <f t="shared" si="42"/>
        <v>1583</v>
      </c>
      <c r="AA71" s="348">
        <f t="shared" si="42"/>
        <v>1349.1666666666667</v>
      </c>
      <c r="AB71" s="348">
        <f t="shared" si="42"/>
        <v>1464</v>
      </c>
      <c r="AC71" s="348">
        <f t="shared" si="42"/>
        <v>1246</v>
      </c>
      <c r="AD71" s="348">
        <f t="shared" si="42"/>
        <v>1461</v>
      </c>
      <c r="AE71" s="348">
        <f t="shared" si="42"/>
        <v>1474.6666666666667</v>
      </c>
      <c r="AF71" s="348">
        <f t="shared" si="42"/>
        <v>1365.8333333333333</v>
      </c>
      <c r="AG71" s="348">
        <f t="shared" si="42"/>
        <v>1289.5</v>
      </c>
      <c r="AH71" s="348" t="e">
        <f t="shared" si="42"/>
        <v>#DIV/0!</v>
      </c>
      <c r="AI71" s="348" t="e">
        <f t="shared" si="42"/>
        <v>#DIV/0!</v>
      </c>
      <c r="AJ71" s="348" t="e">
        <f t="shared" si="42"/>
        <v>#DIV/0!</v>
      </c>
      <c r="AK71" s="348" t="e">
        <f t="shared" si="42"/>
        <v>#DIV/0!</v>
      </c>
      <c r="AL71" s="348" t="e">
        <f t="shared" si="42"/>
        <v>#DIV/0!</v>
      </c>
      <c r="AM71" s="348" t="e">
        <f t="shared" si="42"/>
        <v>#DIV/0!</v>
      </c>
      <c r="AN71" s="348" t="e">
        <f t="shared" si="42"/>
        <v>#DIV/0!</v>
      </c>
      <c r="AO71" s="348" t="e">
        <f t="shared" si="42"/>
        <v>#DIV/0!</v>
      </c>
      <c r="AP71" s="348" t="e">
        <f t="shared" si="42"/>
        <v>#DIV/0!</v>
      </c>
      <c r="AQ71" s="348" t="e">
        <f t="shared" si="42"/>
        <v>#DIV/0!</v>
      </c>
      <c r="AR71" s="348" t="e">
        <f t="shared" si="42"/>
        <v>#DIV/0!</v>
      </c>
      <c r="AS71" s="348" t="e">
        <f t="shared" si="42"/>
        <v>#DIV/0!</v>
      </c>
      <c r="AT71" s="348" t="e">
        <f t="shared" si="42"/>
        <v>#DIV/0!</v>
      </c>
      <c r="AU71" s="348" t="e">
        <f t="shared" si="42"/>
        <v>#DIV/0!</v>
      </c>
      <c r="AV71" s="348" t="e">
        <f t="shared" si="42"/>
        <v>#DIV/0!</v>
      </c>
      <c r="AW71" s="348" t="e">
        <f t="shared" si="42"/>
        <v>#DIV/0!</v>
      </c>
      <c r="AX71" s="348" t="e">
        <f t="shared" si="42"/>
        <v>#DIV/0!</v>
      </c>
      <c r="AY71" s="348" t="e">
        <f t="shared" si="42"/>
        <v>#DIV/0!</v>
      </c>
      <c r="AZ71" s="348" t="e">
        <f t="shared" si="42"/>
        <v>#DIV/0!</v>
      </c>
      <c r="BA71" s="348" t="e">
        <f t="shared" si="42"/>
        <v>#DIV/0!</v>
      </c>
      <c r="BB71" s="348" t="e">
        <f t="shared" si="42"/>
        <v>#DIV/0!</v>
      </c>
      <c r="BC71" s="348" t="e">
        <f t="shared" si="42"/>
        <v>#DIV/0!</v>
      </c>
      <c r="BD71" s="348" t="e">
        <f t="shared" si="42"/>
        <v>#DIV/0!</v>
      </c>
      <c r="BE71" s="348" t="e">
        <f t="shared" si="42"/>
        <v>#DIV/0!</v>
      </c>
      <c r="BF71" s="348" t="e">
        <f t="shared" si="42"/>
        <v>#DIV/0!</v>
      </c>
      <c r="BG71" s="348" t="e">
        <f t="shared" si="42"/>
        <v>#DIV/0!</v>
      </c>
      <c r="BH71" s="348" t="e">
        <f t="shared" si="42"/>
        <v>#DIV/0!</v>
      </c>
      <c r="BI71" s="348" t="e">
        <f t="shared" si="42"/>
        <v>#DIV/0!</v>
      </c>
      <c r="BJ71" s="348" t="e">
        <f t="shared" si="42"/>
        <v>#DIV/0!</v>
      </c>
      <c r="BK71" s="348" t="e">
        <f t="shared" si="42"/>
        <v>#DIV/0!</v>
      </c>
      <c r="BL71" s="348" t="e">
        <f t="shared" si="42"/>
        <v>#DIV/0!</v>
      </c>
      <c r="BM71" s="348" t="e">
        <f t="shared" si="42"/>
        <v>#DIV/0!</v>
      </c>
      <c r="BN71" s="348" t="e">
        <f t="shared" si="38"/>
        <v>#DIV/0!</v>
      </c>
      <c r="BO71" s="348" t="e">
        <f t="shared" si="39"/>
        <v>#DIV/0!</v>
      </c>
      <c r="BP71" s="348" t="e">
        <f t="shared" si="39"/>
        <v>#DIV/0!</v>
      </c>
      <c r="BQ71" s="348" t="e">
        <f t="shared" si="39"/>
        <v>#DIV/0!</v>
      </c>
      <c r="BR71" s="348" t="e">
        <f t="shared" si="39"/>
        <v>#DIV/0!</v>
      </c>
      <c r="BS71" s="24" t="e">
        <f t="shared" si="39"/>
        <v>#DIV/0!</v>
      </c>
      <c r="FY71" s="433"/>
      <c r="GE71" s="433"/>
    </row>
    <row r="72" spans="1:187">
      <c r="A72" s="231" t="s">
        <v>239</v>
      </c>
      <c r="B72" s="442">
        <f t="shared" si="42"/>
        <v>8578.3333333333339</v>
      </c>
      <c r="C72" s="442">
        <f t="shared" si="42"/>
        <v>8941.1666666666661</v>
      </c>
      <c r="D72" s="442">
        <f t="shared" si="42"/>
        <v>7959.666666666667</v>
      </c>
      <c r="E72" s="442">
        <f t="shared" si="42"/>
        <v>8932.1666666666661</v>
      </c>
      <c r="F72" s="442">
        <f t="shared" si="42"/>
        <v>10090.5</v>
      </c>
      <c r="G72" s="442">
        <f t="shared" si="42"/>
        <v>10933.333333333334</v>
      </c>
      <c r="H72" s="442">
        <f t="shared" si="42"/>
        <v>12281</v>
      </c>
      <c r="I72" s="442">
        <f t="shared" si="42"/>
        <v>12733.833333333334</v>
      </c>
      <c r="J72" s="442">
        <f t="shared" si="42"/>
        <v>12168.666666666666</v>
      </c>
      <c r="K72" s="442">
        <f t="shared" si="42"/>
        <v>13949.5</v>
      </c>
      <c r="L72" s="442">
        <f t="shared" si="42"/>
        <v>15771</v>
      </c>
      <c r="M72" s="442">
        <f t="shared" si="42"/>
        <v>18228.166666666668</v>
      </c>
      <c r="N72" s="442">
        <f t="shared" si="42"/>
        <v>18235.5</v>
      </c>
      <c r="O72" s="442">
        <f t="shared" si="42"/>
        <v>18972.166666666668</v>
      </c>
      <c r="P72" s="442">
        <f t="shared" si="42"/>
        <v>20418.5</v>
      </c>
      <c r="Q72" s="442">
        <f t="shared" si="42"/>
        <v>25527.166666666668</v>
      </c>
      <c r="R72" s="442">
        <f t="shared" si="42"/>
        <v>25566.5</v>
      </c>
      <c r="S72" s="442">
        <f t="shared" si="42"/>
        <v>26286.666666666668</v>
      </c>
      <c r="T72" s="442">
        <f t="shared" si="42"/>
        <v>25710.333333333332</v>
      </c>
      <c r="U72" s="442">
        <f t="shared" si="42"/>
        <v>29552</v>
      </c>
      <c r="V72" s="442">
        <f t="shared" si="42"/>
        <v>31030.666666666668</v>
      </c>
      <c r="W72" s="442">
        <f t="shared" si="42"/>
        <v>36801</v>
      </c>
      <c r="X72" s="442">
        <f t="shared" si="42"/>
        <v>43968</v>
      </c>
      <c r="Y72" s="442">
        <f t="shared" si="42"/>
        <v>50135.166666666664</v>
      </c>
      <c r="Z72" s="442">
        <f t="shared" si="42"/>
        <v>54408.166666666664</v>
      </c>
      <c r="AA72" s="442">
        <f t="shared" si="42"/>
        <v>57722.5</v>
      </c>
      <c r="AB72" s="442">
        <f t="shared" si="42"/>
        <v>54812.833333333336</v>
      </c>
      <c r="AC72" s="442">
        <f t="shared" si="42"/>
        <v>55691.333333333336</v>
      </c>
      <c r="AD72" s="442">
        <f t="shared" si="42"/>
        <v>49893.666666666664</v>
      </c>
      <c r="AE72" s="442">
        <f t="shared" si="42"/>
        <v>47716</v>
      </c>
      <c r="AF72" s="442">
        <f t="shared" si="42"/>
        <v>42996.166666666664</v>
      </c>
      <c r="AG72" s="442">
        <f t="shared" si="42"/>
        <v>42178.333333333336</v>
      </c>
      <c r="AH72" s="442" t="e">
        <f t="shared" si="42"/>
        <v>#DIV/0!</v>
      </c>
      <c r="AI72" s="442" t="e">
        <f t="shared" si="42"/>
        <v>#DIV/0!</v>
      </c>
      <c r="AJ72" s="442" t="e">
        <f t="shared" si="42"/>
        <v>#DIV/0!</v>
      </c>
      <c r="AK72" s="442" t="e">
        <f t="shared" si="42"/>
        <v>#DIV/0!</v>
      </c>
      <c r="AL72" s="442" t="e">
        <f t="shared" si="42"/>
        <v>#DIV/0!</v>
      </c>
      <c r="AM72" s="442" t="e">
        <f t="shared" si="42"/>
        <v>#DIV/0!</v>
      </c>
      <c r="AN72" s="442" t="e">
        <f t="shared" si="42"/>
        <v>#DIV/0!</v>
      </c>
      <c r="AO72" s="442" t="e">
        <f t="shared" si="42"/>
        <v>#DIV/0!</v>
      </c>
      <c r="AP72" s="442" t="e">
        <f t="shared" si="42"/>
        <v>#DIV/0!</v>
      </c>
      <c r="AQ72" s="442" t="e">
        <f t="shared" si="42"/>
        <v>#DIV/0!</v>
      </c>
      <c r="AR72" s="442" t="e">
        <f t="shared" si="42"/>
        <v>#DIV/0!</v>
      </c>
      <c r="AS72" s="442" t="e">
        <f t="shared" si="42"/>
        <v>#DIV/0!</v>
      </c>
      <c r="AT72" s="442" t="e">
        <f t="shared" si="42"/>
        <v>#DIV/0!</v>
      </c>
      <c r="AU72" s="442" t="e">
        <f t="shared" si="42"/>
        <v>#DIV/0!</v>
      </c>
      <c r="AV72" s="442" t="e">
        <f t="shared" si="42"/>
        <v>#DIV/0!</v>
      </c>
      <c r="AW72" s="442" t="e">
        <f t="shared" si="42"/>
        <v>#DIV/0!</v>
      </c>
      <c r="AX72" s="442" t="e">
        <f t="shared" si="42"/>
        <v>#DIV/0!</v>
      </c>
      <c r="AY72" s="442" t="e">
        <f t="shared" si="42"/>
        <v>#DIV/0!</v>
      </c>
      <c r="AZ72" s="442" t="e">
        <f t="shared" si="42"/>
        <v>#DIV/0!</v>
      </c>
      <c r="BA72" s="442" t="e">
        <f t="shared" si="42"/>
        <v>#DIV/0!</v>
      </c>
      <c r="BB72" s="442" t="e">
        <f t="shared" si="42"/>
        <v>#DIV/0!</v>
      </c>
      <c r="BC72" s="442" t="e">
        <f t="shared" si="42"/>
        <v>#DIV/0!</v>
      </c>
      <c r="BD72" s="442" t="e">
        <f t="shared" si="42"/>
        <v>#DIV/0!</v>
      </c>
      <c r="BE72" s="442" t="e">
        <f t="shared" si="42"/>
        <v>#DIV/0!</v>
      </c>
      <c r="BF72" s="442" t="e">
        <f t="shared" si="42"/>
        <v>#DIV/0!</v>
      </c>
      <c r="BG72" s="442" t="e">
        <f t="shared" si="42"/>
        <v>#DIV/0!</v>
      </c>
      <c r="BH72" s="442" t="e">
        <f t="shared" si="42"/>
        <v>#DIV/0!</v>
      </c>
      <c r="BI72" s="442" t="e">
        <f t="shared" si="42"/>
        <v>#DIV/0!</v>
      </c>
      <c r="BJ72" s="442" t="e">
        <f t="shared" si="42"/>
        <v>#DIV/0!</v>
      </c>
      <c r="BK72" s="442" t="e">
        <f t="shared" si="42"/>
        <v>#DIV/0!</v>
      </c>
      <c r="BL72" s="442" t="e">
        <f t="shared" si="42"/>
        <v>#DIV/0!</v>
      </c>
      <c r="BM72" s="442" t="e">
        <f t="shared" si="42"/>
        <v>#DIV/0!</v>
      </c>
      <c r="BN72" s="442" t="e">
        <f t="shared" si="38"/>
        <v>#DIV/0!</v>
      </c>
      <c r="BO72" s="442" t="e">
        <f t="shared" si="39"/>
        <v>#DIV/0!</v>
      </c>
      <c r="BP72" s="442" t="e">
        <f t="shared" si="39"/>
        <v>#DIV/0!</v>
      </c>
      <c r="BQ72" s="442" t="e">
        <f t="shared" si="39"/>
        <v>#DIV/0!</v>
      </c>
      <c r="BR72" s="442" t="e">
        <f t="shared" si="39"/>
        <v>#DIV/0!</v>
      </c>
      <c r="BS72" s="431" t="e">
        <f t="shared" si="39"/>
        <v>#DIV/0!</v>
      </c>
      <c r="FY72" s="433"/>
      <c r="GE72" s="433"/>
    </row>
    <row r="73" spans="1:187">
      <c r="A73" s="231" t="s">
        <v>241</v>
      </c>
      <c r="B73" s="348">
        <f t="shared" si="42"/>
        <v>5828</v>
      </c>
      <c r="C73" s="348">
        <f t="shared" si="42"/>
        <v>5803.5</v>
      </c>
      <c r="D73" s="348">
        <f t="shared" si="42"/>
        <v>5458</v>
      </c>
      <c r="E73" s="348">
        <f t="shared" si="42"/>
        <v>5674.666666666667</v>
      </c>
      <c r="F73" s="348">
        <f t="shared" si="42"/>
        <v>5989.5</v>
      </c>
      <c r="G73" s="348">
        <f t="shared" si="42"/>
        <v>5889.333333333333</v>
      </c>
      <c r="H73" s="348">
        <f t="shared" si="42"/>
        <v>6478.166666666667</v>
      </c>
      <c r="I73" s="348">
        <f t="shared" si="42"/>
        <v>7298.333333333333</v>
      </c>
      <c r="J73" s="348">
        <f t="shared" si="42"/>
        <v>8207.5</v>
      </c>
      <c r="K73" s="348">
        <f t="shared" si="42"/>
        <v>8811.6666666666661</v>
      </c>
      <c r="L73" s="348">
        <f t="shared" si="42"/>
        <v>9830.5</v>
      </c>
      <c r="M73" s="348">
        <f t="shared" si="42"/>
        <v>11566.5</v>
      </c>
      <c r="N73" s="348">
        <f t="shared" si="42"/>
        <v>12689.5</v>
      </c>
      <c r="O73" s="348">
        <f t="shared" si="42"/>
        <v>13105.833333333334</v>
      </c>
      <c r="P73" s="348">
        <f t="shared" si="42"/>
        <v>12231.166666666666</v>
      </c>
      <c r="Q73" s="348">
        <f t="shared" si="42"/>
        <v>12878.5</v>
      </c>
      <c r="R73" s="348">
        <f t="shared" si="42"/>
        <v>7857</v>
      </c>
      <c r="S73" s="348">
        <f t="shared" si="42"/>
        <v>6970.166666666667</v>
      </c>
      <c r="T73" s="348">
        <f t="shared" si="42"/>
        <v>7297.833333333333</v>
      </c>
      <c r="U73" s="348">
        <f t="shared" si="42"/>
        <v>8572.6666666666661</v>
      </c>
      <c r="V73" s="348">
        <f t="shared" si="42"/>
        <v>9304.8333333333339</v>
      </c>
      <c r="W73" s="348">
        <f t="shared" si="42"/>
        <v>9300.1666666666661</v>
      </c>
      <c r="X73" s="348">
        <f t="shared" si="42"/>
        <v>8338</v>
      </c>
      <c r="Y73" s="348">
        <f t="shared" si="42"/>
        <v>8121</v>
      </c>
      <c r="Z73" s="348">
        <f t="shared" si="42"/>
        <v>7100</v>
      </c>
      <c r="AA73" s="348">
        <f t="shared" si="42"/>
        <v>6566.666666666667</v>
      </c>
      <c r="AB73" s="348">
        <f t="shared" si="42"/>
        <v>5854.666666666667</v>
      </c>
      <c r="AC73" s="348">
        <f t="shared" si="42"/>
        <v>5792.666666666667</v>
      </c>
      <c r="AD73" s="348">
        <f t="shared" si="42"/>
        <v>5885.166666666667</v>
      </c>
      <c r="AE73" s="348">
        <f t="shared" si="42"/>
        <v>5967</v>
      </c>
      <c r="AF73" s="348">
        <f t="shared" si="42"/>
        <v>5289.833333333333</v>
      </c>
      <c r="AG73" s="348">
        <f t="shared" si="42"/>
        <v>5572.5</v>
      </c>
      <c r="AH73" s="348" t="e">
        <f t="shared" si="42"/>
        <v>#DIV/0!</v>
      </c>
      <c r="AI73" s="348" t="e">
        <f t="shared" si="42"/>
        <v>#DIV/0!</v>
      </c>
      <c r="AJ73" s="348" t="e">
        <f t="shared" si="42"/>
        <v>#DIV/0!</v>
      </c>
      <c r="AK73" s="348" t="e">
        <f t="shared" si="42"/>
        <v>#DIV/0!</v>
      </c>
      <c r="AL73" s="348" t="e">
        <f t="shared" si="42"/>
        <v>#DIV/0!</v>
      </c>
      <c r="AM73" s="348" t="e">
        <f t="shared" si="42"/>
        <v>#DIV/0!</v>
      </c>
      <c r="AN73" s="348" t="e">
        <f t="shared" si="42"/>
        <v>#DIV/0!</v>
      </c>
      <c r="AO73" s="348" t="e">
        <f t="shared" si="42"/>
        <v>#DIV/0!</v>
      </c>
      <c r="AP73" s="348" t="e">
        <f t="shared" si="42"/>
        <v>#DIV/0!</v>
      </c>
      <c r="AQ73" s="348" t="e">
        <f t="shared" si="42"/>
        <v>#DIV/0!</v>
      </c>
      <c r="AR73" s="348" t="e">
        <f t="shared" si="42"/>
        <v>#DIV/0!</v>
      </c>
      <c r="AS73" s="348" t="e">
        <f t="shared" si="42"/>
        <v>#DIV/0!</v>
      </c>
      <c r="AT73" s="348" t="e">
        <f t="shared" si="42"/>
        <v>#DIV/0!</v>
      </c>
      <c r="AU73" s="348" t="e">
        <f t="shared" si="42"/>
        <v>#DIV/0!</v>
      </c>
      <c r="AV73" s="348" t="e">
        <f t="shared" si="42"/>
        <v>#DIV/0!</v>
      </c>
      <c r="AW73" s="348" t="e">
        <f t="shared" si="42"/>
        <v>#DIV/0!</v>
      </c>
      <c r="AX73" s="348" t="e">
        <f t="shared" si="42"/>
        <v>#DIV/0!</v>
      </c>
      <c r="AY73" s="348" t="e">
        <f t="shared" si="42"/>
        <v>#DIV/0!</v>
      </c>
      <c r="AZ73" s="348" t="e">
        <f t="shared" si="42"/>
        <v>#DIV/0!</v>
      </c>
      <c r="BA73" s="348" t="e">
        <f t="shared" si="42"/>
        <v>#DIV/0!</v>
      </c>
      <c r="BB73" s="348" t="e">
        <f t="shared" si="42"/>
        <v>#DIV/0!</v>
      </c>
      <c r="BC73" s="348" t="e">
        <f t="shared" si="42"/>
        <v>#DIV/0!</v>
      </c>
      <c r="BD73" s="348" t="e">
        <f t="shared" si="42"/>
        <v>#DIV/0!</v>
      </c>
      <c r="BE73" s="348" t="e">
        <f t="shared" si="42"/>
        <v>#DIV/0!</v>
      </c>
      <c r="BF73" s="348" t="e">
        <f t="shared" si="42"/>
        <v>#DIV/0!</v>
      </c>
      <c r="BG73" s="348" t="e">
        <f t="shared" si="42"/>
        <v>#DIV/0!</v>
      </c>
      <c r="BH73" s="348" t="e">
        <f t="shared" si="42"/>
        <v>#DIV/0!</v>
      </c>
      <c r="BI73" s="348" t="e">
        <f t="shared" si="42"/>
        <v>#DIV/0!</v>
      </c>
      <c r="BJ73" s="348" t="e">
        <f t="shared" si="42"/>
        <v>#DIV/0!</v>
      </c>
      <c r="BK73" s="348" t="e">
        <f t="shared" si="42"/>
        <v>#DIV/0!</v>
      </c>
      <c r="BL73" s="348" t="e">
        <f t="shared" si="42"/>
        <v>#DIV/0!</v>
      </c>
      <c r="BM73" s="348" t="e">
        <f t="shared" ref="BM73" si="43">AVERAGEIFS($B55:$XX55,$B$63:$XX$63,RIGHT(LEFT(BM$64,2),1),$B$62:$XX$62,RIGHT(BM$64,4))</f>
        <v>#DIV/0!</v>
      </c>
      <c r="BN73" s="348" t="e">
        <f t="shared" si="38"/>
        <v>#DIV/0!</v>
      </c>
      <c r="BO73" s="348" t="e">
        <f t="shared" si="39"/>
        <v>#DIV/0!</v>
      </c>
      <c r="BP73" s="348" t="e">
        <f t="shared" si="39"/>
        <v>#DIV/0!</v>
      </c>
      <c r="BQ73" s="348" t="e">
        <f t="shared" si="39"/>
        <v>#DIV/0!</v>
      </c>
      <c r="BR73" s="348" t="e">
        <f t="shared" si="39"/>
        <v>#DIV/0!</v>
      </c>
      <c r="BS73" s="24" t="e">
        <f t="shared" si="39"/>
        <v>#DIV/0!</v>
      </c>
      <c r="FY73" s="433"/>
      <c r="GE73" s="433"/>
    </row>
    <row r="74" spans="1:187">
      <c r="A74" s="231" t="s">
        <v>244</v>
      </c>
      <c r="B74" s="442">
        <f t="shared" ref="B74:BM75" si="44">AVERAGEIFS($B56:$XX56,$B$63:$XX$63,RIGHT(LEFT(B$64,2),1),$B$62:$XX$62,RIGHT(B$64,4))</f>
        <v>604.66666666666663</v>
      </c>
      <c r="C74" s="442">
        <f t="shared" si="44"/>
        <v>613.5</v>
      </c>
      <c r="D74" s="442">
        <f t="shared" si="44"/>
        <v>566.33333333333337</v>
      </c>
      <c r="E74" s="442">
        <f t="shared" si="44"/>
        <v>562.33333333333337</v>
      </c>
      <c r="F74" s="442">
        <f t="shared" si="44"/>
        <v>556</v>
      </c>
      <c r="G74" s="442">
        <f t="shared" si="44"/>
        <v>573.33333333333337</v>
      </c>
      <c r="H74" s="442">
        <f t="shared" si="44"/>
        <v>558.5</v>
      </c>
      <c r="I74" s="442">
        <f t="shared" si="44"/>
        <v>582.66666666666663</v>
      </c>
      <c r="J74" s="442">
        <f t="shared" si="44"/>
        <v>663.33333333333337</v>
      </c>
      <c r="K74" s="442">
        <f t="shared" si="44"/>
        <v>681.16666666666663</v>
      </c>
      <c r="L74" s="442">
        <f t="shared" si="44"/>
        <v>642.66666666666663</v>
      </c>
      <c r="M74" s="442">
        <f t="shared" si="44"/>
        <v>698.16666666666663</v>
      </c>
      <c r="N74" s="442">
        <f t="shared" si="44"/>
        <v>694.33333333333337</v>
      </c>
      <c r="O74" s="442">
        <f t="shared" si="44"/>
        <v>710.5</v>
      </c>
      <c r="P74" s="442">
        <f t="shared" si="44"/>
        <v>677.66666666666663</v>
      </c>
      <c r="Q74" s="442">
        <f t="shared" si="44"/>
        <v>759.83333333333337</v>
      </c>
      <c r="R74" s="442">
        <f t="shared" si="44"/>
        <v>713.33333333333337</v>
      </c>
      <c r="S74" s="442">
        <f t="shared" si="44"/>
        <v>841.5</v>
      </c>
      <c r="T74" s="442">
        <f t="shared" si="44"/>
        <v>762.5</v>
      </c>
      <c r="U74" s="442">
        <f t="shared" si="44"/>
        <v>809.33333333333337</v>
      </c>
      <c r="V74" s="442">
        <f t="shared" si="44"/>
        <v>728.33333333333337</v>
      </c>
      <c r="W74" s="442">
        <f t="shared" si="44"/>
        <v>901.33333333333337</v>
      </c>
      <c r="X74" s="442">
        <f t="shared" si="44"/>
        <v>824.5</v>
      </c>
      <c r="Y74" s="442">
        <f t="shared" si="44"/>
        <v>907.66666666666663</v>
      </c>
      <c r="Z74" s="442">
        <f t="shared" si="44"/>
        <v>904</v>
      </c>
      <c r="AA74" s="442">
        <f t="shared" si="44"/>
        <v>1032.6666666666667</v>
      </c>
      <c r="AB74" s="442">
        <f t="shared" si="44"/>
        <v>812</v>
      </c>
      <c r="AC74" s="442">
        <f t="shared" si="44"/>
        <v>712.66666666666663</v>
      </c>
      <c r="AD74" s="442">
        <f t="shared" si="44"/>
        <v>597.33333333333337</v>
      </c>
      <c r="AE74" s="442">
        <f t="shared" si="44"/>
        <v>613.33333333333337</v>
      </c>
      <c r="AF74" s="442">
        <f t="shared" si="44"/>
        <v>525.66666666666663</v>
      </c>
      <c r="AG74" s="442">
        <f t="shared" si="44"/>
        <v>529.16666666666663</v>
      </c>
      <c r="AH74" s="442" t="e">
        <f t="shared" si="44"/>
        <v>#DIV/0!</v>
      </c>
      <c r="AI74" s="442" t="e">
        <f t="shared" si="44"/>
        <v>#DIV/0!</v>
      </c>
      <c r="AJ74" s="442" t="e">
        <f t="shared" si="44"/>
        <v>#DIV/0!</v>
      </c>
      <c r="AK74" s="442" t="e">
        <f t="shared" si="44"/>
        <v>#DIV/0!</v>
      </c>
      <c r="AL74" s="442" t="e">
        <f t="shared" si="44"/>
        <v>#DIV/0!</v>
      </c>
      <c r="AM74" s="442" t="e">
        <f t="shared" si="44"/>
        <v>#DIV/0!</v>
      </c>
      <c r="AN74" s="442" t="e">
        <f t="shared" si="44"/>
        <v>#DIV/0!</v>
      </c>
      <c r="AO74" s="442" t="e">
        <f t="shared" si="44"/>
        <v>#DIV/0!</v>
      </c>
      <c r="AP74" s="442" t="e">
        <f t="shared" si="44"/>
        <v>#DIV/0!</v>
      </c>
      <c r="AQ74" s="442" t="e">
        <f t="shared" si="44"/>
        <v>#DIV/0!</v>
      </c>
      <c r="AR74" s="442" t="e">
        <f t="shared" si="44"/>
        <v>#DIV/0!</v>
      </c>
      <c r="AS74" s="442" t="e">
        <f t="shared" si="44"/>
        <v>#DIV/0!</v>
      </c>
      <c r="AT74" s="442" t="e">
        <f t="shared" si="44"/>
        <v>#DIV/0!</v>
      </c>
      <c r="AU74" s="442" t="e">
        <f t="shared" si="44"/>
        <v>#DIV/0!</v>
      </c>
      <c r="AV74" s="442" t="e">
        <f t="shared" si="44"/>
        <v>#DIV/0!</v>
      </c>
      <c r="AW74" s="442" t="e">
        <f t="shared" si="44"/>
        <v>#DIV/0!</v>
      </c>
      <c r="AX74" s="442" t="e">
        <f t="shared" si="44"/>
        <v>#DIV/0!</v>
      </c>
      <c r="AY74" s="442" t="e">
        <f t="shared" si="44"/>
        <v>#DIV/0!</v>
      </c>
      <c r="AZ74" s="442" t="e">
        <f t="shared" si="44"/>
        <v>#DIV/0!</v>
      </c>
      <c r="BA74" s="442" t="e">
        <f t="shared" si="44"/>
        <v>#DIV/0!</v>
      </c>
      <c r="BB74" s="442" t="e">
        <f t="shared" si="44"/>
        <v>#DIV/0!</v>
      </c>
      <c r="BC74" s="442" t="e">
        <f t="shared" si="44"/>
        <v>#DIV/0!</v>
      </c>
      <c r="BD74" s="442" t="e">
        <f t="shared" si="44"/>
        <v>#DIV/0!</v>
      </c>
      <c r="BE74" s="442" t="e">
        <f t="shared" si="44"/>
        <v>#DIV/0!</v>
      </c>
      <c r="BF74" s="442" t="e">
        <f t="shared" si="44"/>
        <v>#DIV/0!</v>
      </c>
      <c r="BG74" s="442" t="e">
        <f t="shared" si="44"/>
        <v>#DIV/0!</v>
      </c>
      <c r="BH74" s="442" t="e">
        <f t="shared" si="44"/>
        <v>#DIV/0!</v>
      </c>
      <c r="BI74" s="442" t="e">
        <f t="shared" si="44"/>
        <v>#DIV/0!</v>
      </c>
      <c r="BJ74" s="442" t="e">
        <f t="shared" si="44"/>
        <v>#DIV/0!</v>
      </c>
      <c r="BK74" s="442" t="e">
        <f t="shared" si="44"/>
        <v>#DIV/0!</v>
      </c>
      <c r="BL74" s="442" t="e">
        <f t="shared" si="44"/>
        <v>#DIV/0!</v>
      </c>
      <c r="BM74" s="442" t="e">
        <f t="shared" si="44"/>
        <v>#DIV/0!</v>
      </c>
      <c r="BN74" s="442" t="e">
        <f t="shared" si="38"/>
        <v>#DIV/0!</v>
      </c>
      <c r="BO74" s="442" t="e">
        <f t="shared" si="39"/>
        <v>#DIV/0!</v>
      </c>
      <c r="BP74" s="442" t="e">
        <f t="shared" si="39"/>
        <v>#DIV/0!</v>
      </c>
      <c r="BQ74" s="442" t="e">
        <f t="shared" si="39"/>
        <v>#DIV/0!</v>
      </c>
      <c r="BR74" s="442" t="e">
        <f t="shared" si="39"/>
        <v>#DIV/0!</v>
      </c>
      <c r="BS74" s="431" t="e">
        <f t="shared" si="39"/>
        <v>#DIV/0!</v>
      </c>
      <c r="FY74" s="433"/>
      <c r="GE74" s="433"/>
    </row>
    <row r="75" spans="1:187">
      <c r="A75" s="231" t="s">
        <v>246</v>
      </c>
      <c r="B75" s="348">
        <f t="shared" si="44"/>
        <v>543.16666666666663</v>
      </c>
      <c r="C75" s="348">
        <f t="shared" si="44"/>
        <v>923.5</v>
      </c>
      <c r="D75" s="348">
        <f t="shared" si="44"/>
        <v>880.33333333333337</v>
      </c>
      <c r="E75" s="348">
        <f t="shared" si="44"/>
        <v>609</v>
      </c>
      <c r="F75" s="348">
        <f t="shared" si="44"/>
        <v>569</v>
      </c>
      <c r="G75" s="348">
        <f t="shared" si="44"/>
        <v>638.16666666666663</v>
      </c>
      <c r="H75" s="348">
        <f t="shared" si="44"/>
        <v>650</v>
      </c>
      <c r="I75" s="348">
        <f t="shared" si="44"/>
        <v>637</v>
      </c>
      <c r="J75" s="348">
        <f t="shared" si="44"/>
        <v>771.33333333333337</v>
      </c>
      <c r="K75" s="348">
        <f t="shared" si="44"/>
        <v>749.83333333333337</v>
      </c>
      <c r="L75" s="348">
        <f t="shared" si="44"/>
        <v>659.5</v>
      </c>
      <c r="M75" s="348">
        <f t="shared" si="44"/>
        <v>495.5</v>
      </c>
      <c r="N75" s="348">
        <f t="shared" si="44"/>
        <v>431.16666666666669</v>
      </c>
      <c r="O75" s="348">
        <f t="shared" si="44"/>
        <v>545</v>
      </c>
      <c r="P75" s="348">
        <f t="shared" si="44"/>
        <v>574</v>
      </c>
      <c r="Q75" s="348">
        <f t="shared" si="44"/>
        <v>547.5</v>
      </c>
      <c r="R75" s="348">
        <f t="shared" si="44"/>
        <v>288.5</v>
      </c>
      <c r="S75" s="348">
        <f t="shared" si="44"/>
        <v>264</v>
      </c>
      <c r="T75" s="348">
        <f t="shared" si="44"/>
        <v>453.16666666666669</v>
      </c>
      <c r="U75" s="348">
        <f t="shared" si="44"/>
        <v>563.83333333333337</v>
      </c>
      <c r="V75" s="348">
        <f t="shared" si="44"/>
        <v>564.83333333333337</v>
      </c>
      <c r="W75" s="348">
        <f t="shared" si="44"/>
        <v>779.83333333333337</v>
      </c>
      <c r="X75" s="348">
        <f t="shared" si="44"/>
        <v>831.66666666666663</v>
      </c>
      <c r="Y75" s="348">
        <f t="shared" si="44"/>
        <v>531.16666666666663</v>
      </c>
      <c r="Z75" s="348">
        <f t="shared" si="44"/>
        <v>464.33333333333331</v>
      </c>
      <c r="AA75" s="348">
        <f t="shared" si="44"/>
        <v>415.33333333333331</v>
      </c>
      <c r="AB75" s="348">
        <f t="shared" si="44"/>
        <v>414.66666666666669</v>
      </c>
      <c r="AC75" s="348">
        <f t="shared" si="44"/>
        <v>413</v>
      </c>
      <c r="AD75" s="348">
        <f t="shared" si="44"/>
        <v>627.66666666666663</v>
      </c>
      <c r="AE75" s="348">
        <f t="shared" si="44"/>
        <v>644.5</v>
      </c>
      <c r="AF75" s="348">
        <f t="shared" si="44"/>
        <v>766.33333333333337</v>
      </c>
      <c r="AG75" s="348">
        <f t="shared" si="44"/>
        <v>1009</v>
      </c>
      <c r="AH75" s="348" t="e">
        <f t="shared" si="44"/>
        <v>#DIV/0!</v>
      </c>
      <c r="AI75" s="348" t="e">
        <f t="shared" si="44"/>
        <v>#DIV/0!</v>
      </c>
      <c r="AJ75" s="348" t="e">
        <f t="shared" si="44"/>
        <v>#DIV/0!</v>
      </c>
      <c r="AK75" s="348" t="e">
        <f t="shared" si="44"/>
        <v>#DIV/0!</v>
      </c>
      <c r="AL75" s="348" t="e">
        <f t="shared" si="44"/>
        <v>#DIV/0!</v>
      </c>
      <c r="AM75" s="348" t="e">
        <f t="shared" si="44"/>
        <v>#DIV/0!</v>
      </c>
      <c r="AN75" s="348" t="e">
        <f t="shared" si="44"/>
        <v>#DIV/0!</v>
      </c>
      <c r="AO75" s="348" t="e">
        <f t="shared" si="44"/>
        <v>#DIV/0!</v>
      </c>
      <c r="AP75" s="348" t="e">
        <f t="shared" si="44"/>
        <v>#DIV/0!</v>
      </c>
      <c r="AQ75" s="348" t="e">
        <f t="shared" si="44"/>
        <v>#DIV/0!</v>
      </c>
      <c r="AR75" s="348" t="e">
        <f t="shared" si="44"/>
        <v>#DIV/0!</v>
      </c>
      <c r="AS75" s="348" t="e">
        <f t="shared" si="44"/>
        <v>#DIV/0!</v>
      </c>
      <c r="AT75" s="348" t="e">
        <f t="shared" si="44"/>
        <v>#DIV/0!</v>
      </c>
      <c r="AU75" s="348" t="e">
        <f t="shared" si="44"/>
        <v>#DIV/0!</v>
      </c>
      <c r="AV75" s="348" t="e">
        <f t="shared" si="44"/>
        <v>#DIV/0!</v>
      </c>
      <c r="AW75" s="348" t="e">
        <f t="shared" si="44"/>
        <v>#DIV/0!</v>
      </c>
      <c r="AX75" s="348" t="e">
        <f t="shared" si="44"/>
        <v>#DIV/0!</v>
      </c>
      <c r="AY75" s="348" t="e">
        <f t="shared" si="44"/>
        <v>#DIV/0!</v>
      </c>
      <c r="AZ75" s="348" t="e">
        <f t="shared" si="44"/>
        <v>#DIV/0!</v>
      </c>
      <c r="BA75" s="348" t="e">
        <f t="shared" si="44"/>
        <v>#DIV/0!</v>
      </c>
      <c r="BB75" s="348" t="e">
        <f t="shared" si="44"/>
        <v>#DIV/0!</v>
      </c>
      <c r="BC75" s="348" t="e">
        <f t="shared" si="44"/>
        <v>#DIV/0!</v>
      </c>
      <c r="BD75" s="348" t="e">
        <f t="shared" si="44"/>
        <v>#DIV/0!</v>
      </c>
      <c r="BE75" s="348" t="e">
        <f t="shared" si="44"/>
        <v>#DIV/0!</v>
      </c>
      <c r="BF75" s="348" t="e">
        <f t="shared" si="44"/>
        <v>#DIV/0!</v>
      </c>
      <c r="BG75" s="348" t="e">
        <f t="shared" si="44"/>
        <v>#DIV/0!</v>
      </c>
      <c r="BH75" s="348" t="e">
        <f t="shared" si="44"/>
        <v>#DIV/0!</v>
      </c>
      <c r="BI75" s="348" t="e">
        <f t="shared" si="44"/>
        <v>#DIV/0!</v>
      </c>
      <c r="BJ75" s="348" t="e">
        <f t="shared" si="44"/>
        <v>#DIV/0!</v>
      </c>
      <c r="BK75" s="348" t="e">
        <f t="shared" si="44"/>
        <v>#DIV/0!</v>
      </c>
      <c r="BL75" s="348" t="e">
        <f t="shared" si="44"/>
        <v>#DIV/0!</v>
      </c>
      <c r="BM75" s="348" t="e">
        <f t="shared" si="44"/>
        <v>#DIV/0!</v>
      </c>
      <c r="BN75" s="348" t="e">
        <f t="shared" si="38"/>
        <v>#DIV/0!</v>
      </c>
      <c r="BO75" s="348" t="e">
        <f t="shared" si="39"/>
        <v>#DIV/0!</v>
      </c>
      <c r="BP75" s="348" t="e">
        <f t="shared" si="39"/>
        <v>#DIV/0!</v>
      </c>
      <c r="BQ75" s="348" t="e">
        <f t="shared" si="39"/>
        <v>#DIV/0!</v>
      </c>
      <c r="BR75" s="348" t="e">
        <f t="shared" si="39"/>
        <v>#DIV/0!</v>
      </c>
      <c r="BS75" s="24" t="e">
        <f t="shared" si="39"/>
        <v>#DIV/0!</v>
      </c>
      <c r="FY75" s="433"/>
      <c r="GE75" s="433"/>
    </row>
    <row r="76" spans="1:187">
      <c r="A76" s="231" t="s">
        <v>322</v>
      </c>
      <c r="B76" s="442">
        <f>AVERAGEIFS($B93:$XX93,$B$63:$XX$63,RIGHT(LEFT(B$64,2),1),$B$62:$XX$62,RIGHT(B$64,4))</f>
        <v>531</v>
      </c>
      <c r="C76" s="442">
        <f t="shared" ref="C76:BN76" si="45">AVERAGEIFS($B93:$XX93,$B$63:$XX$63,RIGHT(LEFT(C$64,2),1),$B$62:$XX$62,RIGHT(C$64,4))</f>
        <v>677.5</v>
      </c>
      <c r="D76" s="442">
        <f t="shared" si="45"/>
        <v>398.83333333333331</v>
      </c>
      <c r="E76" s="442">
        <f t="shared" si="45"/>
        <v>529.83333333333337</v>
      </c>
      <c r="F76" s="442">
        <f t="shared" si="45"/>
        <v>462.16666666666669</v>
      </c>
      <c r="G76" s="442">
        <f t="shared" si="45"/>
        <v>510.83333333333331</v>
      </c>
      <c r="H76" s="442">
        <f t="shared" si="45"/>
        <v>539.83333333333337</v>
      </c>
      <c r="I76" s="442">
        <f t="shared" si="45"/>
        <v>823.33333333333337</v>
      </c>
      <c r="J76" s="442">
        <f t="shared" si="45"/>
        <v>758.33333333333337</v>
      </c>
      <c r="K76" s="442">
        <f t="shared" si="45"/>
        <v>875.83333333333337</v>
      </c>
      <c r="L76" s="442">
        <f t="shared" si="45"/>
        <v>792</v>
      </c>
      <c r="M76" s="442">
        <f t="shared" si="45"/>
        <v>1191.6666666666667</v>
      </c>
      <c r="N76" s="442">
        <f t="shared" si="45"/>
        <v>1225.1666666666667</v>
      </c>
      <c r="O76" s="442">
        <f t="shared" si="45"/>
        <v>1875.5</v>
      </c>
      <c r="P76" s="442">
        <f t="shared" si="45"/>
        <v>2162.1666666666665</v>
      </c>
      <c r="Q76" s="442">
        <f t="shared" si="45"/>
        <v>2951.6666666666665</v>
      </c>
      <c r="R76" s="442">
        <f t="shared" si="45"/>
        <v>1884.8333333333333</v>
      </c>
      <c r="S76" s="442">
        <f t="shared" si="45"/>
        <v>2797.5</v>
      </c>
      <c r="T76" s="442">
        <f t="shared" si="45"/>
        <v>2914.1666666666665</v>
      </c>
      <c r="U76" s="442">
        <f t="shared" si="45"/>
        <v>3598.1666666666665</v>
      </c>
      <c r="V76" s="442">
        <f t="shared" si="45"/>
        <v>3268</v>
      </c>
      <c r="W76" s="442">
        <f t="shared" si="45"/>
        <v>4054.8333333333335</v>
      </c>
      <c r="X76" s="442">
        <f t="shared" si="45"/>
        <v>3853.1666666666665</v>
      </c>
      <c r="Y76" s="442">
        <f t="shared" si="45"/>
        <v>3246.5</v>
      </c>
      <c r="Z76" s="442">
        <f t="shared" si="45"/>
        <v>2232.5</v>
      </c>
      <c r="AA76" s="442">
        <f t="shared" si="45"/>
        <v>2573.6666666666665</v>
      </c>
      <c r="AB76" s="442">
        <f t="shared" si="45"/>
        <v>2203.3333333333335</v>
      </c>
      <c r="AC76" s="442">
        <f t="shared" si="45"/>
        <v>2297.6666666666665</v>
      </c>
      <c r="AD76" s="442">
        <f t="shared" si="45"/>
        <v>1727.3333333333333</v>
      </c>
      <c r="AE76" s="442">
        <f t="shared" si="45"/>
        <v>2087.1666666666665</v>
      </c>
      <c r="AF76" s="442">
        <f t="shared" si="45"/>
        <v>1727.5</v>
      </c>
      <c r="AG76" s="442">
        <f t="shared" si="45"/>
        <v>2113.1666666666665</v>
      </c>
      <c r="AH76" s="442" t="e">
        <f t="shared" si="45"/>
        <v>#DIV/0!</v>
      </c>
      <c r="AI76" s="442" t="e">
        <f t="shared" si="45"/>
        <v>#DIV/0!</v>
      </c>
      <c r="AJ76" s="442" t="e">
        <f t="shared" si="45"/>
        <v>#DIV/0!</v>
      </c>
      <c r="AK76" s="442" t="e">
        <f t="shared" si="45"/>
        <v>#DIV/0!</v>
      </c>
      <c r="AL76" s="442" t="e">
        <f t="shared" si="45"/>
        <v>#DIV/0!</v>
      </c>
      <c r="AM76" s="442" t="e">
        <f t="shared" si="45"/>
        <v>#DIV/0!</v>
      </c>
      <c r="AN76" s="442" t="e">
        <f t="shared" si="45"/>
        <v>#DIV/0!</v>
      </c>
      <c r="AO76" s="442" t="e">
        <f t="shared" si="45"/>
        <v>#DIV/0!</v>
      </c>
      <c r="AP76" s="442" t="e">
        <f t="shared" si="45"/>
        <v>#DIV/0!</v>
      </c>
      <c r="AQ76" s="442" t="e">
        <f t="shared" si="45"/>
        <v>#DIV/0!</v>
      </c>
      <c r="AR76" s="442" t="e">
        <f t="shared" si="45"/>
        <v>#DIV/0!</v>
      </c>
      <c r="AS76" s="442" t="e">
        <f t="shared" si="45"/>
        <v>#DIV/0!</v>
      </c>
      <c r="AT76" s="442" t="e">
        <f t="shared" si="45"/>
        <v>#DIV/0!</v>
      </c>
      <c r="AU76" s="442" t="e">
        <f t="shared" si="45"/>
        <v>#DIV/0!</v>
      </c>
      <c r="AV76" s="442" t="e">
        <f t="shared" si="45"/>
        <v>#DIV/0!</v>
      </c>
      <c r="AW76" s="442" t="e">
        <f t="shared" si="45"/>
        <v>#DIV/0!</v>
      </c>
      <c r="AX76" s="442" t="e">
        <f t="shared" si="45"/>
        <v>#DIV/0!</v>
      </c>
      <c r="AY76" s="442" t="e">
        <f t="shared" si="45"/>
        <v>#DIV/0!</v>
      </c>
      <c r="AZ76" s="442" t="e">
        <f t="shared" si="45"/>
        <v>#DIV/0!</v>
      </c>
      <c r="BA76" s="442" t="e">
        <f t="shared" si="45"/>
        <v>#DIV/0!</v>
      </c>
      <c r="BB76" s="442" t="e">
        <f t="shared" si="45"/>
        <v>#DIV/0!</v>
      </c>
      <c r="BC76" s="442" t="e">
        <f t="shared" si="45"/>
        <v>#DIV/0!</v>
      </c>
      <c r="BD76" s="442" t="e">
        <f t="shared" si="45"/>
        <v>#DIV/0!</v>
      </c>
      <c r="BE76" s="442" t="e">
        <f t="shared" si="45"/>
        <v>#DIV/0!</v>
      </c>
      <c r="BF76" s="442" t="e">
        <f t="shared" si="45"/>
        <v>#DIV/0!</v>
      </c>
      <c r="BG76" s="442" t="e">
        <f t="shared" si="45"/>
        <v>#DIV/0!</v>
      </c>
      <c r="BH76" s="442" t="e">
        <f t="shared" si="45"/>
        <v>#DIV/0!</v>
      </c>
      <c r="BI76" s="442" t="e">
        <f t="shared" si="45"/>
        <v>#DIV/0!</v>
      </c>
      <c r="BJ76" s="442" t="e">
        <f t="shared" si="45"/>
        <v>#DIV/0!</v>
      </c>
      <c r="BK76" s="442" t="e">
        <f t="shared" si="45"/>
        <v>#DIV/0!</v>
      </c>
      <c r="BL76" s="442" t="e">
        <f t="shared" si="45"/>
        <v>#DIV/0!</v>
      </c>
      <c r="BM76" s="442" t="e">
        <f t="shared" si="45"/>
        <v>#DIV/0!</v>
      </c>
      <c r="BN76" s="442" t="e">
        <f t="shared" si="45"/>
        <v>#DIV/0!</v>
      </c>
      <c r="BO76" s="442" t="e">
        <f t="shared" ref="BO76:BS76" si="46">AVERAGEIFS($B93:$XX93,$B$63:$XX$63,RIGHT(LEFT(BO$64,2),1),$B$62:$XX$62,RIGHT(BO$64,4))</f>
        <v>#DIV/0!</v>
      </c>
      <c r="BP76" s="442" t="e">
        <f t="shared" si="46"/>
        <v>#DIV/0!</v>
      </c>
      <c r="BQ76" s="442" t="e">
        <f t="shared" si="46"/>
        <v>#DIV/0!</v>
      </c>
      <c r="BR76" s="442" t="e">
        <f t="shared" si="46"/>
        <v>#DIV/0!</v>
      </c>
      <c r="BS76" s="431" t="e">
        <f t="shared" si="46"/>
        <v>#DIV/0!</v>
      </c>
      <c r="FY76" s="433"/>
      <c r="GE76" s="433"/>
    </row>
    <row r="77" spans="1:187" ht="15.75" thickBot="1">
      <c r="A77" s="232" t="s">
        <v>103</v>
      </c>
      <c r="B77" s="390">
        <f t="shared" ref="B77:BM78" si="47">AVERAGEIFS($B58:$XX58,$B$63:$XX$63,RIGHT(LEFT(B$64,2),1),$B$62:$XX$62,RIGHT(B$64,4))</f>
        <v>1387.5</v>
      </c>
      <c r="C77" s="345">
        <f t="shared" si="47"/>
        <v>1427.5</v>
      </c>
      <c r="D77" s="345">
        <f t="shared" si="47"/>
        <v>1312.6666666666667</v>
      </c>
      <c r="E77" s="345">
        <f t="shared" si="47"/>
        <v>1406</v>
      </c>
      <c r="F77" s="345">
        <f t="shared" si="47"/>
        <v>1248.5</v>
      </c>
      <c r="G77" s="345">
        <f t="shared" si="47"/>
        <v>1341.6666666666667</v>
      </c>
      <c r="H77" s="345">
        <f t="shared" si="47"/>
        <v>1400.5</v>
      </c>
      <c r="I77" s="345">
        <f t="shared" si="47"/>
        <v>1637</v>
      </c>
      <c r="J77" s="345">
        <f t="shared" si="47"/>
        <v>1654.5</v>
      </c>
      <c r="K77" s="345">
        <f t="shared" si="47"/>
        <v>1853.6666666666667</v>
      </c>
      <c r="L77" s="345">
        <f t="shared" si="47"/>
        <v>1661.8333333333333</v>
      </c>
      <c r="M77" s="345">
        <f t="shared" si="47"/>
        <v>1627.8333333333333</v>
      </c>
      <c r="N77" s="345">
        <f t="shared" si="47"/>
        <v>1634.8333333333333</v>
      </c>
      <c r="O77" s="345">
        <f t="shared" si="47"/>
        <v>1788</v>
      </c>
      <c r="P77" s="345">
        <f t="shared" si="47"/>
        <v>1835</v>
      </c>
      <c r="Q77" s="345">
        <f t="shared" si="47"/>
        <v>2125.1666666666665</v>
      </c>
      <c r="R77" s="345">
        <f t="shared" si="47"/>
        <v>2061.1666666666665</v>
      </c>
      <c r="S77" s="345">
        <f t="shared" si="47"/>
        <v>1977.3333333333333</v>
      </c>
      <c r="T77" s="345">
        <f t="shared" si="47"/>
        <v>2083.3333333333335</v>
      </c>
      <c r="U77" s="345">
        <f t="shared" si="47"/>
        <v>2680.1666666666665</v>
      </c>
      <c r="V77" s="345">
        <f t="shared" si="47"/>
        <v>3024.3333333333335</v>
      </c>
      <c r="W77" s="345">
        <f t="shared" si="47"/>
        <v>3290.1666666666665</v>
      </c>
      <c r="X77" s="345">
        <f t="shared" si="47"/>
        <v>2988.8333333333335</v>
      </c>
      <c r="Y77" s="345">
        <f t="shared" si="47"/>
        <v>2752.3333333333335</v>
      </c>
      <c r="Z77" s="345">
        <f t="shared" si="47"/>
        <v>2634.5</v>
      </c>
      <c r="AA77" s="345">
        <f t="shared" si="47"/>
        <v>2680</v>
      </c>
      <c r="AB77" s="345">
        <f t="shared" si="47"/>
        <v>2415.8333333333335</v>
      </c>
      <c r="AC77" s="345">
        <f t="shared" si="47"/>
        <v>2325.3333333333335</v>
      </c>
      <c r="AD77" s="345">
        <f t="shared" si="47"/>
        <v>2025.3333333333333</v>
      </c>
      <c r="AE77" s="345">
        <f t="shared" si="47"/>
        <v>2107</v>
      </c>
      <c r="AF77" s="345">
        <f t="shared" si="47"/>
        <v>1777.1666666666667</v>
      </c>
      <c r="AG77" s="345">
        <f t="shared" si="47"/>
        <v>1675.6666666666667</v>
      </c>
      <c r="AH77" s="345" t="e">
        <f t="shared" si="47"/>
        <v>#DIV/0!</v>
      </c>
      <c r="AI77" s="345" t="e">
        <f t="shared" si="47"/>
        <v>#DIV/0!</v>
      </c>
      <c r="AJ77" s="345" t="e">
        <f t="shared" si="47"/>
        <v>#DIV/0!</v>
      </c>
      <c r="AK77" s="345" t="e">
        <f t="shared" si="47"/>
        <v>#DIV/0!</v>
      </c>
      <c r="AL77" s="345" t="e">
        <f t="shared" si="47"/>
        <v>#DIV/0!</v>
      </c>
      <c r="AM77" s="345" t="e">
        <f t="shared" si="47"/>
        <v>#DIV/0!</v>
      </c>
      <c r="AN77" s="345" t="e">
        <f t="shared" si="47"/>
        <v>#DIV/0!</v>
      </c>
      <c r="AO77" s="345" t="e">
        <f t="shared" si="47"/>
        <v>#DIV/0!</v>
      </c>
      <c r="AP77" s="345" t="e">
        <f t="shared" si="47"/>
        <v>#DIV/0!</v>
      </c>
      <c r="AQ77" s="345" t="e">
        <f t="shared" si="47"/>
        <v>#DIV/0!</v>
      </c>
      <c r="AR77" s="345" t="e">
        <f t="shared" si="47"/>
        <v>#DIV/0!</v>
      </c>
      <c r="AS77" s="345" t="e">
        <f t="shared" si="47"/>
        <v>#DIV/0!</v>
      </c>
      <c r="AT77" s="345" t="e">
        <f t="shared" si="47"/>
        <v>#DIV/0!</v>
      </c>
      <c r="AU77" s="345" t="e">
        <f t="shared" si="47"/>
        <v>#DIV/0!</v>
      </c>
      <c r="AV77" s="345" t="e">
        <f t="shared" si="47"/>
        <v>#DIV/0!</v>
      </c>
      <c r="AW77" s="345" t="e">
        <f t="shared" si="47"/>
        <v>#DIV/0!</v>
      </c>
      <c r="AX77" s="345" t="e">
        <f t="shared" si="47"/>
        <v>#DIV/0!</v>
      </c>
      <c r="AY77" s="345" t="e">
        <f t="shared" si="47"/>
        <v>#DIV/0!</v>
      </c>
      <c r="AZ77" s="345" t="e">
        <f t="shared" si="47"/>
        <v>#DIV/0!</v>
      </c>
      <c r="BA77" s="345" t="e">
        <f t="shared" si="47"/>
        <v>#DIV/0!</v>
      </c>
      <c r="BB77" s="345" t="e">
        <f t="shared" si="47"/>
        <v>#DIV/0!</v>
      </c>
      <c r="BC77" s="345" t="e">
        <f t="shared" si="47"/>
        <v>#DIV/0!</v>
      </c>
      <c r="BD77" s="345" t="e">
        <f t="shared" si="47"/>
        <v>#DIV/0!</v>
      </c>
      <c r="BE77" s="345" t="e">
        <f t="shared" si="47"/>
        <v>#DIV/0!</v>
      </c>
      <c r="BF77" s="345" t="e">
        <f t="shared" si="47"/>
        <v>#DIV/0!</v>
      </c>
      <c r="BG77" s="345" t="e">
        <f t="shared" si="47"/>
        <v>#DIV/0!</v>
      </c>
      <c r="BH77" s="345" t="e">
        <f t="shared" si="47"/>
        <v>#DIV/0!</v>
      </c>
      <c r="BI77" s="345" t="e">
        <f t="shared" si="47"/>
        <v>#DIV/0!</v>
      </c>
      <c r="BJ77" s="345" t="e">
        <f t="shared" si="47"/>
        <v>#DIV/0!</v>
      </c>
      <c r="BK77" s="345" t="e">
        <f t="shared" si="47"/>
        <v>#DIV/0!</v>
      </c>
      <c r="BL77" s="345" t="e">
        <f t="shared" si="47"/>
        <v>#DIV/0!</v>
      </c>
      <c r="BM77" s="345" t="e">
        <f t="shared" si="47"/>
        <v>#DIV/0!</v>
      </c>
      <c r="BN77" s="345" t="e">
        <f t="shared" ref="BN77:BS78" si="48">AVERAGEIFS($B58:$XX58,$B$63:$XX$63,RIGHT(LEFT(BN$64,2),1),$B$62:$XX$62,RIGHT(BN$64,4))</f>
        <v>#DIV/0!</v>
      </c>
      <c r="BO77" s="345" t="e">
        <f t="shared" si="48"/>
        <v>#DIV/0!</v>
      </c>
      <c r="BP77" s="345" t="e">
        <f t="shared" si="48"/>
        <v>#DIV/0!</v>
      </c>
      <c r="BQ77" s="345" t="e">
        <f t="shared" si="48"/>
        <v>#DIV/0!</v>
      </c>
      <c r="BR77" s="345" t="e">
        <f t="shared" si="48"/>
        <v>#DIV/0!</v>
      </c>
      <c r="BS77" s="391" t="e">
        <f t="shared" si="48"/>
        <v>#DIV/0!</v>
      </c>
      <c r="FY77" s="433"/>
      <c r="GE77" s="433"/>
    </row>
    <row r="78" spans="1:187" ht="16.5" thickTop="1" thickBot="1">
      <c r="A78" s="162" t="s">
        <v>237</v>
      </c>
      <c r="B78" s="388">
        <f t="shared" si="47"/>
        <v>42496.666666666664</v>
      </c>
      <c r="C78" s="388">
        <f t="shared" si="47"/>
        <v>43486.333333333336</v>
      </c>
      <c r="D78" s="388">
        <f t="shared" si="47"/>
        <v>41404</v>
      </c>
      <c r="E78" s="388">
        <f t="shared" si="47"/>
        <v>42676.5</v>
      </c>
      <c r="F78" s="388">
        <f t="shared" si="47"/>
        <v>43300.833333333336</v>
      </c>
      <c r="G78" s="388">
        <f t="shared" si="47"/>
        <v>44856.166666666664</v>
      </c>
      <c r="H78" s="388">
        <f t="shared" si="47"/>
        <v>47387.166666666664</v>
      </c>
      <c r="I78" s="388">
        <f t="shared" si="47"/>
        <v>49841.833333333336</v>
      </c>
      <c r="J78" s="388">
        <f t="shared" si="47"/>
        <v>50350.166666666664</v>
      </c>
      <c r="K78" s="388">
        <f t="shared" si="47"/>
        <v>54549.5</v>
      </c>
      <c r="L78" s="388">
        <f t="shared" si="47"/>
        <v>57536.5</v>
      </c>
      <c r="M78" s="388">
        <f t="shared" si="47"/>
        <v>61811.333333333336</v>
      </c>
      <c r="N78" s="388">
        <f t="shared" si="47"/>
        <v>63765.5</v>
      </c>
      <c r="O78" s="388">
        <f t="shared" si="47"/>
        <v>66270.5</v>
      </c>
      <c r="P78" s="388">
        <f t="shared" si="47"/>
        <v>67629.166666666672</v>
      </c>
      <c r="Q78" s="388">
        <f t="shared" si="47"/>
        <v>74444.833333333328</v>
      </c>
      <c r="R78" s="388">
        <f t="shared" si="47"/>
        <v>68615.166666666672</v>
      </c>
      <c r="S78" s="388">
        <f t="shared" si="47"/>
        <v>66581.5</v>
      </c>
      <c r="T78" s="388">
        <f t="shared" si="47"/>
        <v>68031.5</v>
      </c>
      <c r="U78" s="388">
        <f t="shared" si="47"/>
        <v>76134.333333333328</v>
      </c>
      <c r="V78" s="388">
        <f t="shared" si="47"/>
        <v>81195</v>
      </c>
      <c r="W78" s="388">
        <f t="shared" si="47"/>
        <v>90789.333333333328</v>
      </c>
      <c r="X78" s="388">
        <f t="shared" si="47"/>
        <v>96551</v>
      </c>
      <c r="Y78" s="388">
        <f t="shared" si="47"/>
        <v>100641.66666666667</v>
      </c>
      <c r="Z78" s="388">
        <f t="shared" si="47"/>
        <v>102088.5</v>
      </c>
      <c r="AA78" s="388">
        <f t="shared" si="47"/>
        <v>101268.16666666667</v>
      </c>
      <c r="AB78" s="388">
        <f t="shared" si="47"/>
        <v>94849.333333333328</v>
      </c>
      <c r="AC78" s="388">
        <f t="shared" si="47"/>
        <v>95617.666666666672</v>
      </c>
      <c r="AD78" s="388">
        <f t="shared" si="47"/>
        <v>87781.333333333328</v>
      </c>
      <c r="AE78" s="388">
        <f t="shared" si="47"/>
        <v>86549.666666666672</v>
      </c>
      <c r="AF78" s="388">
        <f t="shared" si="47"/>
        <v>81494</v>
      </c>
      <c r="AG78" s="388">
        <f t="shared" si="47"/>
        <v>82244.666666666672</v>
      </c>
      <c r="AH78" s="388" t="e">
        <f t="shared" si="47"/>
        <v>#DIV/0!</v>
      </c>
      <c r="AI78" s="388" t="e">
        <f t="shared" si="47"/>
        <v>#DIV/0!</v>
      </c>
      <c r="AJ78" s="388" t="e">
        <f t="shared" si="47"/>
        <v>#DIV/0!</v>
      </c>
      <c r="AK78" s="388" t="e">
        <f t="shared" si="47"/>
        <v>#DIV/0!</v>
      </c>
      <c r="AL78" s="388" t="e">
        <f t="shared" si="47"/>
        <v>#DIV/0!</v>
      </c>
      <c r="AM78" s="388" t="e">
        <f t="shared" si="47"/>
        <v>#DIV/0!</v>
      </c>
      <c r="AN78" s="388" t="e">
        <f t="shared" si="47"/>
        <v>#DIV/0!</v>
      </c>
      <c r="AO78" s="388" t="e">
        <f t="shared" si="47"/>
        <v>#DIV/0!</v>
      </c>
      <c r="AP78" s="388" t="e">
        <f t="shared" si="47"/>
        <v>#DIV/0!</v>
      </c>
      <c r="AQ78" s="388" t="e">
        <f t="shared" si="47"/>
        <v>#DIV/0!</v>
      </c>
      <c r="AR78" s="388" t="e">
        <f t="shared" si="47"/>
        <v>#DIV/0!</v>
      </c>
      <c r="AS78" s="388" t="e">
        <f t="shared" si="47"/>
        <v>#DIV/0!</v>
      </c>
      <c r="AT78" s="388" t="e">
        <f t="shared" si="47"/>
        <v>#DIV/0!</v>
      </c>
      <c r="AU78" s="388" t="e">
        <f t="shared" si="47"/>
        <v>#DIV/0!</v>
      </c>
      <c r="AV78" s="388" t="e">
        <f t="shared" si="47"/>
        <v>#DIV/0!</v>
      </c>
      <c r="AW78" s="388" t="e">
        <f t="shared" si="47"/>
        <v>#DIV/0!</v>
      </c>
      <c r="AX78" s="388" t="e">
        <f t="shared" si="47"/>
        <v>#DIV/0!</v>
      </c>
      <c r="AY78" s="388" t="e">
        <f t="shared" si="47"/>
        <v>#DIV/0!</v>
      </c>
      <c r="AZ78" s="388" t="e">
        <f t="shared" si="47"/>
        <v>#DIV/0!</v>
      </c>
      <c r="BA78" s="388" t="e">
        <f t="shared" si="47"/>
        <v>#DIV/0!</v>
      </c>
      <c r="BB78" s="388" t="e">
        <f t="shared" si="47"/>
        <v>#DIV/0!</v>
      </c>
      <c r="BC78" s="388" t="e">
        <f t="shared" si="47"/>
        <v>#DIV/0!</v>
      </c>
      <c r="BD78" s="388" t="e">
        <f t="shared" si="47"/>
        <v>#DIV/0!</v>
      </c>
      <c r="BE78" s="388" t="e">
        <f t="shared" si="47"/>
        <v>#DIV/0!</v>
      </c>
      <c r="BF78" s="388" t="e">
        <f t="shared" si="47"/>
        <v>#DIV/0!</v>
      </c>
      <c r="BG78" s="388" t="e">
        <f t="shared" si="47"/>
        <v>#DIV/0!</v>
      </c>
      <c r="BH78" s="388" t="e">
        <f t="shared" si="47"/>
        <v>#DIV/0!</v>
      </c>
      <c r="BI78" s="388" t="e">
        <f t="shared" si="47"/>
        <v>#DIV/0!</v>
      </c>
      <c r="BJ78" s="388" t="e">
        <f t="shared" si="47"/>
        <v>#DIV/0!</v>
      </c>
      <c r="BK78" s="388" t="e">
        <f t="shared" si="47"/>
        <v>#DIV/0!</v>
      </c>
      <c r="BL78" s="388" t="e">
        <f t="shared" si="47"/>
        <v>#DIV/0!</v>
      </c>
      <c r="BM78" s="388" t="e">
        <f t="shared" si="47"/>
        <v>#DIV/0!</v>
      </c>
      <c r="BN78" s="388" t="e">
        <f t="shared" si="48"/>
        <v>#DIV/0!</v>
      </c>
      <c r="BO78" s="388" t="e">
        <f t="shared" si="48"/>
        <v>#DIV/0!</v>
      </c>
      <c r="BP78" s="388" t="e">
        <f t="shared" si="48"/>
        <v>#DIV/0!</v>
      </c>
      <c r="BQ78" s="388" t="e">
        <f t="shared" si="48"/>
        <v>#DIV/0!</v>
      </c>
      <c r="BR78" s="388" t="e">
        <f t="shared" si="48"/>
        <v>#DIV/0!</v>
      </c>
      <c r="BS78" s="389" t="e">
        <f>AVERAGEIFS($B59:$XX59,$B$63:$XX$63,RIGHT(LEFT(BS$64,2),1),$B$62:$XX$62,RIGHT(BS$64,4))</f>
        <v>#DIV/0!</v>
      </c>
      <c r="FY78" s="433"/>
      <c r="GE78" s="433"/>
    </row>
    <row r="79" spans="1:187">
      <c r="B79" s="434">
        <v>1</v>
      </c>
      <c r="C79" s="434">
        <v>2</v>
      </c>
      <c r="D79" s="434">
        <v>1</v>
      </c>
      <c r="E79" s="434">
        <v>2</v>
      </c>
      <c r="F79" s="434">
        <v>1</v>
      </c>
      <c r="G79" s="434">
        <v>2</v>
      </c>
      <c r="H79" s="434">
        <v>1</v>
      </c>
      <c r="I79" s="434">
        <v>2</v>
      </c>
      <c r="J79" s="434">
        <v>1</v>
      </c>
      <c r="K79" s="434">
        <v>2</v>
      </c>
      <c r="L79" s="434">
        <v>1</v>
      </c>
      <c r="M79" s="434">
        <v>2</v>
      </c>
      <c r="N79" s="434">
        <v>1</v>
      </c>
      <c r="O79" s="434">
        <v>2</v>
      </c>
      <c r="P79" s="434">
        <v>1</v>
      </c>
      <c r="Q79" s="434">
        <v>2</v>
      </c>
      <c r="R79" s="434">
        <v>1</v>
      </c>
      <c r="S79" s="434">
        <v>2</v>
      </c>
      <c r="T79" s="434">
        <v>1</v>
      </c>
      <c r="U79" s="434">
        <v>2</v>
      </c>
      <c r="V79" s="434">
        <v>1</v>
      </c>
      <c r="W79" s="434">
        <v>2</v>
      </c>
      <c r="X79" s="434">
        <v>1</v>
      </c>
      <c r="Y79" s="434">
        <v>2</v>
      </c>
      <c r="Z79" s="434">
        <v>1</v>
      </c>
      <c r="AA79" s="434">
        <v>2</v>
      </c>
      <c r="AB79" s="434">
        <v>1</v>
      </c>
      <c r="AC79" s="434">
        <v>2</v>
      </c>
      <c r="AD79" s="434">
        <v>1</v>
      </c>
      <c r="AE79" s="434">
        <v>2</v>
      </c>
      <c r="AF79" s="434">
        <v>1</v>
      </c>
      <c r="AG79" s="434">
        <v>2</v>
      </c>
      <c r="AH79" s="434">
        <v>1</v>
      </c>
      <c r="AI79" s="434">
        <v>2</v>
      </c>
      <c r="AJ79" s="434">
        <v>1</v>
      </c>
      <c r="AK79" s="434">
        <v>2</v>
      </c>
      <c r="AL79" s="434">
        <v>1</v>
      </c>
      <c r="AM79" s="434">
        <v>2</v>
      </c>
      <c r="AN79" s="434">
        <v>1</v>
      </c>
      <c r="AO79" s="434">
        <v>2</v>
      </c>
      <c r="AP79" s="434">
        <v>1</v>
      </c>
      <c r="AQ79" s="434">
        <v>2</v>
      </c>
      <c r="AR79" s="434">
        <v>1</v>
      </c>
      <c r="AS79" s="434">
        <v>2</v>
      </c>
      <c r="AT79" s="434">
        <v>1</v>
      </c>
      <c r="AU79" s="434">
        <v>2</v>
      </c>
      <c r="AV79" s="434">
        <v>1</v>
      </c>
      <c r="AW79" s="434">
        <v>2</v>
      </c>
      <c r="AX79" s="434">
        <v>1</v>
      </c>
      <c r="AY79" s="434">
        <v>2</v>
      </c>
      <c r="AZ79" s="434">
        <v>1</v>
      </c>
      <c r="BA79" s="434">
        <v>2</v>
      </c>
      <c r="BB79" s="434">
        <v>1</v>
      </c>
      <c r="BC79" s="434">
        <v>2</v>
      </c>
      <c r="BD79" s="434">
        <v>1</v>
      </c>
      <c r="BE79" s="434">
        <v>2</v>
      </c>
      <c r="BF79" s="434">
        <v>1</v>
      </c>
      <c r="BG79" s="434">
        <v>2</v>
      </c>
      <c r="BH79" s="434">
        <v>1</v>
      </c>
      <c r="BI79" s="434">
        <v>2</v>
      </c>
      <c r="BJ79" s="434">
        <v>1</v>
      </c>
      <c r="BK79" s="434">
        <v>2</v>
      </c>
      <c r="BL79" s="434">
        <v>1</v>
      </c>
      <c r="BM79" s="434">
        <v>2</v>
      </c>
      <c r="BN79" s="434">
        <v>1</v>
      </c>
      <c r="BO79" s="434">
        <v>2</v>
      </c>
      <c r="BP79" s="434">
        <v>1</v>
      </c>
      <c r="BQ79" s="434">
        <v>2</v>
      </c>
      <c r="BR79" s="434">
        <v>1</v>
      </c>
      <c r="BS79" s="434">
        <v>2</v>
      </c>
      <c r="FY79" s="433"/>
      <c r="GE79" s="433"/>
    </row>
    <row r="80" spans="1:187">
      <c r="B80" s="434">
        <f>VALUE(RIGHT(B64,4))</f>
        <v>2001</v>
      </c>
      <c r="C80" s="434">
        <f>VALUE(RIGHT(C64,4))</f>
        <v>2001</v>
      </c>
      <c r="D80" s="434">
        <f>VALUE(RIGHT(D64,4))</f>
        <v>2002</v>
      </c>
      <c r="E80" s="434">
        <f>VALUE(RIGHT(E64,4))</f>
        <v>2002</v>
      </c>
      <c r="F80" s="434">
        <f t="shared" ref="F80:BQ80" si="49">VALUE(RIGHT(F64,4))</f>
        <v>2003</v>
      </c>
      <c r="G80" s="434">
        <f t="shared" si="49"/>
        <v>2003</v>
      </c>
      <c r="H80" s="434">
        <f t="shared" si="49"/>
        <v>2004</v>
      </c>
      <c r="I80" s="434">
        <f t="shared" si="49"/>
        <v>2004</v>
      </c>
      <c r="J80" s="434">
        <f t="shared" si="49"/>
        <v>2005</v>
      </c>
      <c r="K80" s="434">
        <f t="shared" si="49"/>
        <v>2005</v>
      </c>
      <c r="L80" s="434">
        <f t="shared" si="49"/>
        <v>2006</v>
      </c>
      <c r="M80" s="434">
        <f t="shared" si="49"/>
        <v>2006</v>
      </c>
      <c r="N80" s="434">
        <f t="shared" si="49"/>
        <v>2007</v>
      </c>
      <c r="O80" s="434">
        <f t="shared" si="49"/>
        <v>2007</v>
      </c>
      <c r="P80" s="434">
        <f t="shared" si="49"/>
        <v>2008</v>
      </c>
      <c r="Q80" s="434">
        <f t="shared" si="49"/>
        <v>2008</v>
      </c>
      <c r="R80" s="434">
        <f t="shared" si="49"/>
        <v>2009</v>
      </c>
      <c r="S80" s="434">
        <f t="shared" si="49"/>
        <v>2009</v>
      </c>
      <c r="T80" s="434">
        <f t="shared" si="49"/>
        <v>2010</v>
      </c>
      <c r="U80" s="434">
        <f t="shared" si="49"/>
        <v>2010</v>
      </c>
      <c r="V80" s="434">
        <f t="shared" si="49"/>
        <v>2011</v>
      </c>
      <c r="W80" s="434">
        <f t="shared" si="49"/>
        <v>2011</v>
      </c>
      <c r="X80" s="434">
        <f t="shared" si="49"/>
        <v>2012</v>
      </c>
      <c r="Y80" s="434">
        <f t="shared" si="49"/>
        <v>2012</v>
      </c>
      <c r="Z80" s="434">
        <f t="shared" si="49"/>
        <v>2013</v>
      </c>
      <c r="AA80" s="434">
        <f t="shared" si="49"/>
        <v>2013</v>
      </c>
      <c r="AB80" s="434">
        <f t="shared" si="49"/>
        <v>2014</v>
      </c>
      <c r="AC80" s="434">
        <f t="shared" si="49"/>
        <v>2014</v>
      </c>
      <c r="AD80" s="434">
        <f t="shared" si="49"/>
        <v>2015</v>
      </c>
      <c r="AE80" s="434">
        <f t="shared" si="49"/>
        <v>2015</v>
      </c>
      <c r="AF80" s="434">
        <f t="shared" si="49"/>
        <v>2016</v>
      </c>
      <c r="AG80" s="434">
        <f t="shared" si="49"/>
        <v>2016</v>
      </c>
      <c r="AH80" s="434">
        <f t="shared" si="49"/>
        <v>2017</v>
      </c>
      <c r="AI80" s="434">
        <f t="shared" si="49"/>
        <v>2017</v>
      </c>
      <c r="AJ80" s="434">
        <f t="shared" si="49"/>
        <v>2018</v>
      </c>
      <c r="AK80" s="434">
        <f t="shared" si="49"/>
        <v>2018</v>
      </c>
      <c r="AL80" s="434">
        <f t="shared" si="49"/>
        <v>2019</v>
      </c>
      <c r="AM80" s="434">
        <f t="shared" si="49"/>
        <v>2019</v>
      </c>
      <c r="AN80" s="434">
        <f t="shared" si="49"/>
        <v>2020</v>
      </c>
      <c r="AO80" s="434">
        <f t="shared" si="49"/>
        <v>2020</v>
      </c>
      <c r="AP80" s="434">
        <f t="shared" si="49"/>
        <v>2021</v>
      </c>
      <c r="AQ80" s="434">
        <f t="shared" si="49"/>
        <v>2021</v>
      </c>
      <c r="AR80" s="434">
        <f t="shared" si="49"/>
        <v>2022</v>
      </c>
      <c r="AS80" s="434">
        <f t="shared" si="49"/>
        <v>2022</v>
      </c>
      <c r="AT80" s="434">
        <f t="shared" si="49"/>
        <v>2023</v>
      </c>
      <c r="AU80" s="434">
        <f t="shared" si="49"/>
        <v>2023</v>
      </c>
      <c r="AV80" s="434">
        <f t="shared" si="49"/>
        <v>2024</v>
      </c>
      <c r="AW80" s="434">
        <f t="shared" si="49"/>
        <v>2024</v>
      </c>
      <c r="AX80" s="434">
        <f t="shared" si="49"/>
        <v>2025</v>
      </c>
      <c r="AY80" s="434">
        <f t="shared" si="49"/>
        <v>2025</v>
      </c>
      <c r="AZ80" s="434">
        <f t="shared" si="49"/>
        <v>2026</v>
      </c>
      <c r="BA80" s="434">
        <f t="shared" si="49"/>
        <v>2026</v>
      </c>
      <c r="BB80" s="434">
        <f t="shared" si="49"/>
        <v>2027</v>
      </c>
      <c r="BC80" s="434">
        <f t="shared" si="49"/>
        <v>2027</v>
      </c>
      <c r="BD80" s="434">
        <f t="shared" si="49"/>
        <v>2028</v>
      </c>
      <c r="BE80" s="434">
        <f t="shared" si="49"/>
        <v>2028</v>
      </c>
      <c r="BF80" s="434">
        <f t="shared" si="49"/>
        <v>2029</v>
      </c>
      <c r="BG80" s="434">
        <f t="shared" si="49"/>
        <v>2029</v>
      </c>
      <c r="BH80" s="434">
        <f t="shared" si="49"/>
        <v>2030</v>
      </c>
      <c r="BI80" s="434">
        <f t="shared" si="49"/>
        <v>2030</v>
      </c>
      <c r="BJ80" s="434">
        <f t="shared" si="49"/>
        <v>2031</v>
      </c>
      <c r="BK80" s="434">
        <f t="shared" si="49"/>
        <v>2031</v>
      </c>
      <c r="BL80" s="434">
        <f t="shared" si="49"/>
        <v>2032</v>
      </c>
      <c r="BM80" s="434">
        <f t="shared" si="49"/>
        <v>2032</v>
      </c>
      <c r="BN80" s="434">
        <f t="shared" si="49"/>
        <v>2033</v>
      </c>
      <c r="BO80" s="434">
        <f t="shared" si="49"/>
        <v>2033</v>
      </c>
      <c r="BP80" s="434">
        <f t="shared" si="49"/>
        <v>2034</v>
      </c>
      <c r="BQ80" s="434">
        <f t="shared" si="49"/>
        <v>2034</v>
      </c>
      <c r="BR80" s="434">
        <f t="shared" ref="BR80:BS80" si="50">VALUE(RIGHT(BR64,4))</f>
        <v>2035</v>
      </c>
      <c r="BS80" s="434">
        <f t="shared" si="50"/>
        <v>2035</v>
      </c>
      <c r="FY80" s="433"/>
      <c r="GE80" s="433"/>
    </row>
    <row r="81" spans="1:193">
      <c r="FY81" s="433"/>
      <c r="GE81" s="433"/>
    </row>
    <row r="83" spans="1:193" ht="15.75" thickBot="1">
      <c r="A83" s="357" t="s">
        <v>326</v>
      </c>
    </row>
    <row r="84" spans="1:193" ht="15.75" thickBot="1">
      <c r="A84" s="233"/>
      <c r="B84" s="230">
        <v>36892</v>
      </c>
      <c r="C84" s="230">
        <v>36923</v>
      </c>
      <c r="D84" s="230">
        <v>36951</v>
      </c>
      <c r="E84" s="230">
        <v>36982</v>
      </c>
      <c r="F84" s="230">
        <v>37012</v>
      </c>
      <c r="G84" s="230">
        <v>37043</v>
      </c>
      <c r="H84" s="230">
        <v>37073</v>
      </c>
      <c r="I84" s="230">
        <v>37104</v>
      </c>
      <c r="J84" s="230">
        <v>37135</v>
      </c>
      <c r="K84" s="230">
        <v>37165</v>
      </c>
      <c r="L84" s="230">
        <v>37196</v>
      </c>
      <c r="M84" s="230">
        <v>37226</v>
      </c>
      <c r="N84" s="230">
        <v>37257</v>
      </c>
      <c r="O84" s="230">
        <v>37288</v>
      </c>
      <c r="P84" s="230">
        <v>37316</v>
      </c>
      <c r="Q84" s="230">
        <v>37347</v>
      </c>
      <c r="R84" s="230">
        <v>37377</v>
      </c>
      <c r="S84" s="230">
        <v>37408</v>
      </c>
      <c r="T84" s="230">
        <v>37438</v>
      </c>
      <c r="U84" s="230">
        <v>37469</v>
      </c>
      <c r="V84" s="230">
        <v>37500</v>
      </c>
      <c r="W84" s="230">
        <v>37530</v>
      </c>
      <c r="X84" s="230">
        <v>37561</v>
      </c>
      <c r="Y84" s="230">
        <v>37591</v>
      </c>
      <c r="Z84" s="230">
        <v>37622</v>
      </c>
      <c r="AA84" s="230">
        <v>37653</v>
      </c>
      <c r="AB84" s="230">
        <v>37681</v>
      </c>
      <c r="AC84" s="230">
        <v>37712</v>
      </c>
      <c r="AD84" s="230">
        <v>37742</v>
      </c>
      <c r="AE84" s="230">
        <v>37773</v>
      </c>
      <c r="AF84" s="230">
        <v>37803</v>
      </c>
      <c r="AG84" s="230">
        <v>37834</v>
      </c>
      <c r="AH84" s="230">
        <v>37865</v>
      </c>
      <c r="AI84" s="230">
        <v>37895</v>
      </c>
      <c r="AJ84" s="230">
        <v>37926</v>
      </c>
      <c r="AK84" s="230">
        <v>37956</v>
      </c>
      <c r="AL84" s="230">
        <v>37987</v>
      </c>
      <c r="AM84" s="230">
        <v>38018</v>
      </c>
      <c r="AN84" s="230">
        <v>38047</v>
      </c>
      <c r="AO84" s="230">
        <v>38078</v>
      </c>
      <c r="AP84" s="230">
        <v>38108</v>
      </c>
      <c r="AQ84" s="230">
        <v>38139</v>
      </c>
      <c r="AR84" s="230">
        <v>38169</v>
      </c>
      <c r="AS84" s="230">
        <v>38200</v>
      </c>
      <c r="AT84" s="230">
        <v>38231</v>
      </c>
      <c r="AU84" s="230">
        <v>38261</v>
      </c>
      <c r="AV84" s="230">
        <v>38292</v>
      </c>
      <c r="AW84" s="230">
        <v>38322</v>
      </c>
      <c r="AX84" s="230">
        <v>38353</v>
      </c>
      <c r="AY84" s="230">
        <v>38384</v>
      </c>
      <c r="AZ84" s="230">
        <v>38412</v>
      </c>
      <c r="BA84" s="230">
        <v>38443</v>
      </c>
      <c r="BB84" s="230">
        <v>38473</v>
      </c>
      <c r="BC84" s="230">
        <v>38504</v>
      </c>
      <c r="BD84" s="230">
        <v>38534</v>
      </c>
      <c r="BE84" s="230">
        <v>38565</v>
      </c>
      <c r="BF84" s="230">
        <v>38596</v>
      </c>
      <c r="BG84" s="230">
        <v>38626</v>
      </c>
      <c r="BH84" s="230">
        <v>38657</v>
      </c>
      <c r="BI84" s="230">
        <v>38687</v>
      </c>
      <c r="BJ84" s="230">
        <v>38718</v>
      </c>
      <c r="BK84" s="230">
        <v>38749</v>
      </c>
      <c r="BL84" s="230">
        <v>38777</v>
      </c>
      <c r="BM84" s="230">
        <v>38808</v>
      </c>
      <c r="BN84" s="230">
        <v>38838</v>
      </c>
      <c r="BO84" s="230">
        <v>38869</v>
      </c>
      <c r="BP84" s="230">
        <v>38899</v>
      </c>
      <c r="BQ84" s="230">
        <v>38930</v>
      </c>
      <c r="BR84" s="230">
        <v>38961</v>
      </c>
      <c r="BS84" s="230">
        <v>38991</v>
      </c>
      <c r="BT84" s="230">
        <v>39022</v>
      </c>
      <c r="BU84" s="230">
        <v>39052</v>
      </c>
      <c r="BV84" s="230">
        <v>39083</v>
      </c>
      <c r="BW84" s="230">
        <v>39114</v>
      </c>
      <c r="BX84" s="230">
        <v>39142</v>
      </c>
      <c r="BY84" s="230">
        <v>39173</v>
      </c>
      <c r="BZ84" s="230">
        <v>39203</v>
      </c>
      <c r="CA84" s="230">
        <v>39234</v>
      </c>
      <c r="CB84" s="230">
        <v>39264</v>
      </c>
      <c r="CC84" s="230">
        <v>39295</v>
      </c>
      <c r="CD84" s="230">
        <v>39326</v>
      </c>
      <c r="CE84" s="230">
        <v>39356</v>
      </c>
      <c r="CF84" s="438">
        <v>39387</v>
      </c>
      <c r="CG84" s="438">
        <v>39417</v>
      </c>
      <c r="CH84" s="438">
        <v>39448</v>
      </c>
      <c r="CI84" s="438">
        <v>39479</v>
      </c>
      <c r="CJ84" s="438">
        <v>39508</v>
      </c>
      <c r="CK84" s="438">
        <v>39539</v>
      </c>
      <c r="CL84" s="438">
        <v>39569</v>
      </c>
      <c r="CM84" s="438">
        <v>39600</v>
      </c>
      <c r="CN84" s="438">
        <v>39630</v>
      </c>
      <c r="CO84" s="438">
        <v>39661</v>
      </c>
      <c r="CP84" s="438">
        <v>39692</v>
      </c>
      <c r="CQ84" s="438">
        <v>39722</v>
      </c>
      <c r="CR84" s="438">
        <v>39753</v>
      </c>
      <c r="CS84" s="438">
        <v>39783</v>
      </c>
      <c r="CT84" s="438">
        <v>39814</v>
      </c>
      <c r="CU84" s="438">
        <v>39845</v>
      </c>
      <c r="CV84" s="438">
        <v>39873</v>
      </c>
      <c r="CW84" s="438">
        <v>39904</v>
      </c>
      <c r="CX84" s="438">
        <v>39934</v>
      </c>
      <c r="CY84" s="438">
        <v>39965</v>
      </c>
      <c r="CZ84" s="438">
        <v>39995</v>
      </c>
      <c r="DA84" s="438">
        <v>40026</v>
      </c>
      <c r="DB84" s="438">
        <v>40057</v>
      </c>
      <c r="DC84" s="438">
        <v>40087</v>
      </c>
      <c r="DD84" s="438">
        <v>40118</v>
      </c>
      <c r="DE84" s="438">
        <v>40148</v>
      </c>
      <c r="DF84" s="438">
        <v>40179</v>
      </c>
      <c r="DG84" s="438">
        <v>40210</v>
      </c>
      <c r="DH84" s="438">
        <v>40238</v>
      </c>
      <c r="DI84" s="438">
        <v>40269</v>
      </c>
      <c r="DJ84" s="438">
        <v>40299</v>
      </c>
      <c r="DK84" s="438">
        <v>40330</v>
      </c>
      <c r="DL84" s="438">
        <v>40360</v>
      </c>
      <c r="DM84" s="438">
        <v>40391</v>
      </c>
      <c r="DN84" s="438">
        <v>40422</v>
      </c>
      <c r="DO84" s="438">
        <v>40452</v>
      </c>
      <c r="DP84" s="438">
        <v>40483</v>
      </c>
      <c r="DQ84" s="438">
        <v>40513</v>
      </c>
      <c r="DR84" s="438">
        <v>40544</v>
      </c>
      <c r="DS84" s="438">
        <v>40575</v>
      </c>
      <c r="DT84" s="438">
        <v>40603</v>
      </c>
      <c r="DU84" s="438">
        <v>40634</v>
      </c>
      <c r="DV84" s="438">
        <v>40664</v>
      </c>
      <c r="DW84" s="438">
        <v>40695</v>
      </c>
      <c r="DX84" s="438">
        <v>40725</v>
      </c>
      <c r="DY84" s="438">
        <v>40756</v>
      </c>
      <c r="DZ84" s="438">
        <v>40787</v>
      </c>
      <c r="EA84" s="438">
        <v>40817</v>
      </c>
      <c r="EB84" s="438">
        <v>40848</v>
      </c>
      <c r="EC84" s="438">
        <v>40878</v>
      </c>
      <c r="ED84" s="438">
        <v>40909</v>
      </c>
      <c r="EE84" s="438">
        <v>40940</v>
      </c>
      <c r="EF84" s="438">
        <v>40969</v>
      </c>
      <c r="EG84" s="438">
        <v>41000</v>
      </c>
      <c r="EH84" s="438">
        <v>41030</v>
      </c>
      <c r="EI84" s="438">
        <v>41061</v>
      </c>
      <c r="EJ84" s="438">
        <v>41091</v>
      </c>
      <c r="EK84" s="438">
        <v>41122</v>
      </c>
      <c r="EL84" s="438">
        <v>41153</v>
      </c>
      <c r="EM84" s="438">
        <v>41183</v>
      </c>
      <c r="EN84" s="438">
        <v>41214</v>
      </c>
      <c r="EO84" s="438">
        <v>41244</v>
      </c>
      <c r="EP84" s="438">
        <v>41275</v>
      </c>
      <c r="EQ84" s="438">
        <v>41306</v>
      </c>
      <c r="ER84" s="438">
        <v>41334</v>
      </c>
      <c r="ES84" s="438">
        <v>41365</v>
      </c>
      <c r="ET84" s="438">
        <v>41395</v>
      </c>
      <c r="EU84" s="438">
        <v>41426</v>
      </c>
      <c r="EV84" s="438">
        <v>41456</v>
      </c>
      <c r="EW84" s="438">
        <v>41487</v>
      </c>
      <c r="EX84" s="438">
        <v>41518</v>
      </c>
      <c r="EY84" s="438">
        <v>41548</v>
      </c>
      <c r="EZ84" s="438">
        <v>41579</v>
      </c>
      <c r="FA84" s="438">
        <v>41609</v>
      </c>
      <c r="FB84" s="438">
        <v>41640</v>
      </c>
      <c r="FC84" s="438">
        <v>41671</v>
      </c>
      <c r="FD84" s="438">
        <v>41699</v>
      </c>
      <c r="FE84" s="438">
        <v>41730</v>
      </c>
      <c r="FF84" s="438">
        <v>41760</v>
      </c>
      <c r="FG84" s="438">
        <v>41791</v>
      </c>
      <c r="FH84" s="438">
        <v>41821</v>
      </c>
      <c r="FI84" s="438">
        <v>41852</v>
      </c>
      <c r="FJ84" s="438">
        <v>41883</v>
      </c>
      <c r="FK84" s="438">
        <v>41913</v>
      </c>
      <c r="FL84" s="438">
        <v>41944</v>
      </c>
      <c r="FM84" s="438">
        <v>41974</v>
      </c>
      <c r="FN84" s="438">
        <v>42005</v>
      </c>
      <c r="FO84" s="438">
        <v>42036</v>
      </c>
      <c r="FP84" s="438">
        <v>42064</v>
      </c>
      <c r="FQ84" s="438">
        <v>42095</v>
      </c>
      <c r="FR84" s="438">
        <v>42125</v>
      </c>
      <c r="FS84" s="438">
        <v>42156</v>
      </c>
      <c r="FT84" s="438">
        <v>42186</v>
      </c>
      <c r="FU84" s="438">
        <v>42217</v>
      </c>
      <c r="FV84" s="438">
        <v>42248</v>
      </c>
      <c r="FW84" s="438">
        <v>42278</v>
      </c>
      <c r="FX84" s="438">
        <v>42309</v>
      </c>
      <c r="FY84" s="438">
        <v>42339</v>
      </c>
      <c r="FZ84" s="438">
        <v>42370</v>
      </c>
      <c r="GA84" s="438">
        <v>42401</v>
      </c>
      <c r="GB84" s="438">
        <v>42430</v>
      </c>
      <c r="GC84" s="438">
        <v>42461</v>
      </c>
      <c r="GD84" s="438">
        <v>42491</v>
      </c>
      <c r="GE84" s="438">
        <v>42522</v>
      </c>
      <c r="GF84" s="438">
        <v>42552</v>
      </c>
      <c r="GG84" s="438">
        <v>42583</v>
      </c>
      <c r="GH84" s="438">
        <v>42614</v>
      </c>
      <c r="GI84" s="438">
        <v>42644</v>
      </c>
      <c r="GJ84" s="438">
        <v>42675</v>
      </c>
      <c r="GK84" s="439">
        <v>42705</v>
      </c>
    </row>
    <row r="85" spans="1:193" ht="15.75" thickBot="1">
      <c r="A85" s="234" t="s">
        <v>247</v>
      </c>
      <c r="B85" s="235">
        <v>226.2</v>
      </c>
      <c r="C85" s="235">
        <v>324.39999999999998</v>
      </c>
      <c r="D85" s="235">
        <v>319.60000000000002</v>
      </c>
      <c r="E85" s="235">
        <v>400</v>
      </c>
      <c r="F85" s="235">
        <v>376.2</v>
      </c>
      <c r="G85" s="235">
        <v>408.4</v>
      </c>
      <c r="H85" s="235">
        <v>409.7</v>
      </c>
      <c r="I85" s="235">
        <v>383.5</v>
      </c>
      <c r="J85" s="235">
        <v>440.9</v>
      </c>
      <c r="K85" s="235">
        <v>495.3</v>
      </c>
      <c r="L85" s="235">
        <v>464.5</v>
      </c>
      <c r="M85" s="235">
        <v>341</v>
      </c>
      <c r="N85" s="235">
        <v>216.2</v>
      </c>
      <c r="O85" s="235">
        <v>335.7</v>
      </c>
      <c r="P85" s="235">
        <v>287.3</v>
      </c>
      <c r="Q85" s="235">
        <v>292.7</v>
      </c>
      <c r="R85" s="235">
        <v>288.7</v>
      </c>
      <c r="S85" s="235">
        <v>205</v>
      </c>
      <c r="T85" s="235">
        <v>325.3</v>
      </c>
      <c r="U85" s="235">
        <v>324.60000000000002</v>
      </c>
      <c r="V85" s="235">
        <v>306</v>
      </c>
      <c r="W85" s="235">
        <v>392.3</v>
      </c>
      <c r="X85" s="235">
        <v>375.2</v>
      </c>
      <c r="Y85" s="235">
        <v>295.10000000000002</v>
      </c>
      <c r="Z85" s="235">
        <v>215.7</v>
      </c>
      <c r="AA85" s="235">
        <v>329.7</v>
      </c>
      <c r="AB85" s="235">
        <v>328.9</v>
      </c>
      <c r="AC85" s="235">
        <v>314.2</v>
      </c>
      <c r="AD85" s="235">
        <v>380.8</v>
      </c>
      <c r="AE85" s="235">
        <v>353.8</v>
      </c>
      <c r="AF85" s="235">
        <v>365.6</v>
      </c>
      <c r="AG85" s="235">
        <v>368.4</v>
      </c>
      <c r="AH85" s="235">
        <v>379.5</v>
      </c>
      <c r="AI85" s="235">
        <v>303.7</v>
      </c>
      <c r="AJ85" s="235">
        <v>299.2</v>
      </c>
      <c r="AK85" s="235">
        <v>254.8</v>
      </c>
      <c r="AL85" s="235">
        <v>185.3</v>
      </c>
      <c r="AM85" s="235">
        <v>252.5</v>
      </c>
      <c r="AN85" s="235">
        <v>252.8</v>
      </c>
      <c r="AO85" s="235">
        <v>311.89999999999998</v>
      </c>
      <c r="AP85" s="235">
        <v>342.5</v>
      </c>
      <c r="AQ85" s="235">
        <v>359.2</v>
      </c>
      <c r="AR85" s="235">
        <v>361.4</v>
      </c>
      <c r="AS85" s="235">
        <v>378.2</v>
      </c>
      <c r="AT85" s="235">
        <v>375.5</v>
      </c>
      <c r="AU85" s="235">
        <v>361.4</v>
      </c>
      <c r="AV85" s="235">
        <v>408.8</v>
      </c>
      <c r="AW85" s="235">
        <v>282.89999999999998</v>
      </c>
      <c r="AX85" s="235">
        <v>232.9</v>
      </c>
      <c r="AY85" s="235">
        <v>283.39999999999998</v>
      </c>
      <c r="AZ85" s="235">
        <v>328.5</v>
      </c>
      <c r="BA85" s="235">
        <v>337.3</v>
      </c>
      <c r="BB85" s="235">
        <v>411.4</v>
      </c>
      <c r="BC85" s="235">
        <v>307.5</v>
      </c>
      <c r="BD85" s="235">
        <v>385.9</v>
      </c>
      <c r="BE85" s="235">
        <v>374.9</v>
      </c>
      <c r="BF85" s="235">
        <v>380.1</v>
      </c>
      <c r="BG85" s="235">
        <v>365.6</v>
      </c>
      <c r="BH85" s="235">
        <v>367.1</v>
      </c>
      <c r="BI85" s="235">
        <v>316.7</v>
      </c>
      <c r="BJ85" s="235">
        <v>262.10000000000002</v>
      </c>
      <c r="BK85" s="235">
        <v>335.5</v>
      </c>
      <c r="BL85" s="235">
        <v>309.5</v>
      </c>
      <c r="BM85" s="235">
        <v>422.5</v>
      </c>
      <c r="BN85" s="235">
        <v>435.7</v>
      </c>
      <c r="BO85" s="235">
        <v>495</v>
      </c>
      <c r="BP85" s="235">
        <v>467.9</v>
      </c>
      <c r="BQ85" s="235">
        <v>496.3</v>
      </c>
      <c r="BR85" s="235">
        <v>556.1</v>
      </c>
      <c r="BS85" s="235">
        <v>514.1</v>
      </c>
      <c r="BT85" s="235">
        <v>505.1</v>
      </c>
      <c r="BU85" s="235">
        <v>411.3</v>
      </c>
      <c r="BV85" s="235">
        <v>359.1</v>
      </c>
      <c r="BW85" s="235">
        <v>455.1</v>
      </c>
      <c r="BX85" s="235">
        <v>458.5</v>
      </c>
      <c r="BY85" s="235">
        <v>482.3</v>
      </c>
      <c r="BZ85" s="235">
        <v>527.20000000000005</v>
      </c>
      <c r="CA85" s="235">
        <v>544.70000000000005</v>
      </c>
      <c r="CB85" s="235">
        <v>580</v>
      </c>
      <c r="CC85" s="235">
        <v>563.29999999999995</v>
      </c>
      <c r="CD85" s="235">
        <v>663.3</v>
      </c>
      <c r="CE85" s="235">
        <v>681.3</v>
      </c>
      <c r="CF85" s="440">
        <v>713.6</v>
      </c>
      <c r="CG85" s="440">
        <v>565.5</v>
      </c>
      <c r="CH85" s="440">
        <v>538.9</v>
      </c>
      <c r="CI85" s="440">
        <v>809.9</v>
      </c>
      <c r="CJ85" s="440">
        <v>863.8</v>
      </c>
      <c r="CK85" s="440">
        <v>973.7</v>
      </c>
      <c r="CL85" s="440">
        <v>1001.6</v>
      </c>
      <c r="CM85" s="440">
        <v>990.4</v>
      </c>
      <c r="CN85" s="440">
        <v>1215.2</v>
      </c>
      <c r="CO85" s="440">
        <v>1205.3</v>
      </c>
      <c r="CP85" s="440">
        <v>1217</v>
      </c>
      <c r="CQ85" s="440">
        <v>1277</v>
      </c>
      <c r="CR85" s="440">
        <v>1140.8</v>
      </c>
      <c r="CS85" s="440">
        <v>867.4</v>
      </c>
      <c r="CT85" s="440">
        <v>746.9</v>
      </c>
      <c r="CU85" s="440">
        <v>985.9</v>
      </c>
      <c r="CV85" s="440">
        <v>1079.5</v>
      </c>
      <c r="CW85" s="440">
        <v>1051.3</v>
      </c>
      <c r="CX85" s="440">
        <v>1148.7</v>
      </c>
      <c r="CY85" s="440">
        <v>1172.7</v>
      </c>
      <c r="CZ85" s="440">
        <v>1281.5999999999999</v>
      </c>
      <c r="DA85" s="440">
        <v>1262</v>
      </c>
      <c r="DB85" s="440">
        <v>1190.5</v>
      </c>
      <c r="DC85" s="440">
        <v>1239.7</v>
      </c>
      <c r="DD85" s="440">
        <v>1224.5999999999999</v>
      </c>
      <c r="DE85" s="440">
        <v>1069.8</v>
      </c>
      <c r="DF85" s="440">
        <v>1003.4</v>
      </c>
      <c r="DG85" s="440">
        <v>1131.2</v>
      </c>
      <c r="DH85" s="440">
        <v>1304.7</v>
      </c>
      <c r="DI85" s="440">
        <v>1231</v>
      </c>
      <c r="DJ85" s="440">
        <v>1353.8</v>
      </c>
      <c r="DK85" s="440">
        <v>1365.8</v>
      </c>
      <c r="DL85" s="440">
        <v>1447</v>
      </c>
      <c r="DM85" s="440">
        <v>1488.8</v>
      </c>
      <c r="DN85" s="440">
        <v>1400.1</v>
      </c>
      <c r="DO85" s="440">
        <v>1444.3</v>
      </c>
      <c r="DP85" s="440">
        <v>1574.4</v>
      </c>
      <c r="DQ85" s="440">
        <v>1366.8</v>
      </c>
      <c r="DR85" s="440">
        <v>990.7</v>
      </c>
      <c r="DS85" s="440">
        <v>1021</v>
      </c>
      <c r="DT85" s="440">
        <v>1231.9000000000001</v>
      </c>
      <c r="DU85" s="440">
        <v>1209.7</v>
      </c>
      <c r="DV85" s="440">
        <v>1350.2</v>
      </c>
      <c r="DW85" s="440">
        <v>1283.8</v>
      </c>
      <c r="DX85" s="440">
        <v>1345.7</v>
      </c>
      <c r="DY85" s="440">
        <v>1347.1</v>
      </c>
      <c r="DZ85" s="440">
        <v>1340.3</v>
      </c>
      <c r="EA85" s="440">
        <v>1380.4</v>
      </c>
      <c r="EB85" s="440">
        <v>1362.6</v>
      </c>
      <c r="EC85" s="440">
        <v>1036.2</v>
      </c>
      <c r="ED85" s="440">
        <v>1001.1</v>
      </c>
      <c r="EE85" s="440">
        <v>1444.9</v>
      </c>
      <c r="EF85" s="440">
        <v>1544.8</v>
      </c>
      <c r="EG85" s="440">
        <v>1556.2</v>
      </c>
      <c r="EH85" s="440">
        <v>1548.3</v>
      </c>
      <c r="EI85" s="440">
        <v>1502.6</v>
      </c>
      <c r="EJ85" s="440">
        <v>1398.5</v>
      </c>
      <c r="EK85" s="440">
        <v>1338.7</v>
      </c>
      <c r="EL85" s="440">
        <v>1109.5</v>
      </c>
      <c r="EM85" s="440">
        <v>1118</v>
      </c>
      <c r="EN85" s="440">
        <v>1053</v>
      </c>
      <c r="EO85" s="440">
        <v>689.7</v>
      </c>
      <c r="EP85" s="440">
        <v>629</v>
      </c>
      <c r="EQ85" s="440">
        <v>740.3</v>
      </c>
      <c r="ER85" s="440">
        <v>846.3</v>
      </c>
      <c r="ES85" s="440">
        <v>950</v>
      </c>
      <c r="ET85" s="440">
        <v>941.2</v>
      </c>
      <c r="EU85" s="440">
        <v>866</v>
      </c>
      <c r="EV85" s="440">
        <v>983.7</v>
      </c>
      <c r="EW85" s="440">
        <v>892.6</v>
      </c>
      <c r="EX85" s="440">
        <v>899.5</v>
      </c>
      <c r="EY85" s="440">
        <v>957.3</v>
      </c>
      <c r="EZ85" s="440">
        <v>869.4</v>
      </c>
      <c r="FA85" s="440">
        <v>595.20000000000005</v>
      </c>
      <c r="FB85" s="440">
        <v>574.5</v>
      </c>
      <c r="FC85" s="440">
        <v>726.6</v>
      </c>
      <c r="FD85" s="440">
        <v>818.1</v>
      </c>
      <c r="FE85" s="440">
        <v>849</v>
      </c>
      <c r="FF85" s="440">
        <v>923.7</v>
      </c>
      <c r="FG85" s="440">
        <v>888.3</v>
      </c>
      <c r="FH85" s="440">
        <v>853.5</v>
      </c>
      <c r="FI85" s="440">
        <v>790.7</v>
      </c>
      <c r="FJ85" s="440">
        <v>782.9</v>
      </c>
      <c r="FK85" s="440">
        <v>821.6</v>
      </c>
      <c r="FL85" s="440">
        <v>751.2</v>
      </c>
      <c r="FM85" s="440">
        <v>541.4</v>
      </c>
      <c r="FN85" s="440">
        <v>520.5</v>
      </c>
      <c r="FO85" s="440">
        <v>564.70000000000005</v>
      </c>
      <c r="FP85" s="440">
        <v>762.2</v>
      </c>
      <c r="FQ85" s="440">
        <v>803.9</v>
      </c>
      <c r="FR85" s="440">
        <v>816.7</v>
      </c>
      <c r="FS85" s="440">
        <v>758.8</v>
      </c>
      <c r="FT85" s="440">
        <v>779.6</v>
      </c>
      <c r="FU85" s="440">
        <v>729.8</v>
      </c>
      <c r="FV85" s="440">
        <v>749.4</v>
      </c>
      <c r="FW85" s="440">
        <v>716.5</v>
      </c>
      <c r="FX85" s="440">
        <v>675.2</v>
      </c>
      <c r="FY85" s="440">
        <v>491.5</v>
      </c>
      <c r="FZ85" s="440">
        <v>443.5</v>
      </c>
      <c r="GA85" s="440">
        <v>547.70000000000005</v>
      </c>
      <c r="GB85" s="440">
        <v>590.4</v>
      </c>
      <c r="GC85" s="440">
        <v>603.4</v>
      </c>
      <c r="GD85" s="440">
        <v>688.3</v>
      </c>
      <c r="GE85" s="440">
        <v>624.1</v>
      </c>
      <c r="GF85" s="440">
        <v>650</v>
      </c>
      <c r="GG85" s="440">
        <v>715</v>
      </c>
      <c r="GH85" s="440">
        <v>872</v>
      </c>
      <c r="GI85" s="440">
        <v>816</v>
      </c>
      <c r="GJ85" s="440">
        <v>756</v>
      </c>
      <c r="GK85" s="429">
        <v>545</v>
      </c>
    </row>
    <row r="87" spans="1:193" ht="15.75" thickBot="1">
      <c r="A87" s="357" t="s">
        <v>327</v>
      </c>
    </row>
    <row r="88" spans="1:193" ht="15.75" thickBot="1">
      <c r="A88" s="233"/>
      <c r="B88" s="230">
        <v>36892</v>
      </c>
      <c r="C88" s="230">
        <v>36923</v>
      </c>
      <c r="D88" s="230">
        <v>36951</v>
      </c>
      <c r="E88" s="230">
        <v>36982</v>
      </c>
      <c r="F88" s="230">
        <v>37012</v>
      </c>
      <c r="G88" s="230">
        <v>37043</v>
      </c>
      <c r="H88" s="230">
        <v>37073</v>
      </c>
      <c r="I88" s="230">
        <v>37104</v>
      </c>
      <c r="J88" s="230">
        <v>37135</v>
      </c>
      <c r="K88" s="230">
        <v>37165</v>
      </c>
      <c r="L88" s="230">
        <v>37196</v>
      </c>
      <c r="M88" s="230">
        <v>37226</v>
      </c>
      <c r="N88" s="230">
        <v>37257</v>
      </c>
      <c r="O88" s="230">
        <v>37288</v>
      </c>
      <c r="P88" s="230">
        <v>37316</v>
      </c>
      <c r="Q88" s="230">
        <v>37347</v>
      </c>
      <c r="R88" s="230">
        <v>37377</v>
      </c>
      <c r="S88" s="230">
        <v>37408</v>
      </c>
      <c r="T88" s="230">
        <v>37438</v>
      </c>
      <c r="U88" s="230">
        <v>37469</v>
      </c>
      <c r="V88" s="230">
        <v>37500</v>
      </c>
      <c r="W88" s="230">
        <v>37530</v>
      </c>
      <c r="X88" s="230">
        <v>37561</v>
      </c>
      <c r="Y88" s="230">
        <v>37591</v>
      </c>
      <c r="Z88" s="230">
        <v>37622</v>
      </c>
      <c r="AA88" s="230">
        <v>37653</v>
      </c>
      <c r="AB88" s="230">
        <v>37681</v>
      </c>
      <c r="AC88" s="230">
        <v>37712</v>
      </c>
      <c r="AD88" s="230">
        <v>37742</v>
      </c>
      <c r="AE88" s="230">
        <v>37773</v>
      </c>
      <c r="AF88" s="230">
        <v>37803</v>
      </c>
      <c r="AG88" s="230">
        <v>37834</v>
      </c>
      <c r="AH88" s="230">
        <v>37865</v>
      </c>
      <c r="AI88" s="230">
        <v>37895</v>
      </c>
      <c r="AJ88" s="230">
        <v>37926</v>
      </c>
      <c r="AK88" s="230">
        <v>37956</v>
      </c>
      <c r="AL88" s="230">
        <v>37987</v>
      </c>
      <c r="AM88" s="230">
        <v>38018</v>
      </c>
      <c r="AN88" s="230">
        <v>38047</v>
      </c>
      <c r="AO88" s="230">
        <v>38078</v>
      </c>
      <c r="AP88" s="230">
        <v>38108</v>
      </c>
      <c r="AQ88" s="230">
        <v>38139</v>
      </c>
      <c r="AR88" s="230">
        <v>38169</v>
      </c>
      <c r="AS88" s="230">
        <v>38200</v>
      </c>
      <c r="AT88" s="230">
        <v>38231</v>
      </c>
      <c r="AU88" s="230">
        <v>38261</v>
      </c>
      <c r="AV88" s="230">
        <v>38292</v>
      </c>
      <c r="AW88" s="230">
        <v>38322</v>
      </c>
      <c r="AX88" s="230">
        <v>38353</v>
      </c>
      <c r="AY88" s="230">
        <v>38384</v>
      </c>
      <c r="AZ88" s="230">
        <v>38412</v>
      </c>
      <c r="BA88" s="230">
        <v>38443</v>
      </c>
      <c r="BB88" s="230">
        <v>38473</v>
      </c>
      <c r="BC88" s="230">
        <v>38504</v>
      </c>
      <c r="BD88" s="230">
        <v>38534</v>
      </c>
      <c r="BE88" s="230">
        <v>38565</v>
      </c>
      <c r="BF88" s="230">
        <v>38596</v>
      </c>
      <c r="BG88" s="230">
        <v>38626</v>
      </c>
      <c r="BH88" s="230">
        <v>38657</v>
      </c>
      <c r="BI88" s="230">
        <v>38687</v>
      </c>
      <c r="BJ88" s="230">
        <v>38718</v>
      </c>
      <c r="BK88" s="230">
        <v>38749</v>
      </c>
      <c r="BL88" s="230">
        <v>38777</v>
      </c>
      <c r="BM88" s="230">
        <v>38808</v>
      </c>
      <c r="BN88" s="230">
        <v>38838</v>
      </c>
      <c r="BO88" s="230">
        <v>38869</v>
      </c>
      <c r="BP88" s="230">
        <v>38899</v>
      </c>
      <c r="BQ88" s="230">
        <v>38930</v>
      </c>
      <c r="BR88" s="230">
        <v>38961</v>
      </c>
      <c r="BS88" s="230">
        <v>38991</v>
      </c>
      <c r="BT88" s="230">
        <v>39022</v>
      </c>
      <c r="BU88" s="230">
        <v>39052</v>
      </c>
      <c r="BV88" s="230">
        <v>39083</v>
      </c>
      <c r="BW88" s="230">
        <v>39114</v>
      </c>
      <c r="BX88" s="230">
        <v>39142</v>
      </c>
      <c r="BY88" s="230">
        <v>39173</v>
      </c>
      <c r="BZ88" s="230">
        <v>39203</v>
      </c>
      <c r="CA88" s="230">
        <v>39234</v>
      </c>
      <c r="CB88" s="230">
        <v>39264</v>
      </c>
      <c r="CC88" s="230">
        <v>39295</v>
      </c>
      <c r="CD88" s="230">
        <v>39326</v>
      </c>
      <c r="CE88" s="230">
        <v>39356</v>
      </c>
      <c r="CF88" s="438">
        <v>39387</v>
      </c>
      <c r="CG88" s="438">
        <v>39417</v>
      </c>
      <c r="CH88" s="438">
        <v>39448</v>
      </c>
      <c r="CI88" s="438">
        <v>39479</v>
      </c>
      <c r="CJ88" s="438">
        <v>39508</v>
      </c>
      <c r="CK88" s="438">
        <v>39539</v>
      </c>
      <c r="CL88" s="438">
        <v>39569</v>
      </c>
      <c r="CM88" s="438">
        <v>39600</v>
      </c>
      <c r="CN88" s="438">
        <v>39630</v>
      </c>
      <c r="CO88" s="438">
        <v>39661</v>
      </c>
      <c r="CP88" s="438">
        <v>39692</v>
      </c>
      <c r="CQ88" s="438">
        <v>39722</v>
      </c>
      <c r="CR88" s="438">
        <v>39753</v>
      </c>
      <c r="CS88" s="438">
        <v>39783</v>
      </c>
      <c r="CT88" s="438">
        <v>39814</v>
      </c>
      <c r="CU88" s="438">
        <v>39845</v>
      </c>
      <c r="CV88" s="438">
        <v>39873</v>
      </c>
      <c r="CW88" s="438">
        <v>39904</v>
      </c>
      <c r="CX88" s="438">
        <v>39934</v>
      </c>
      <c r="CY88" s="438">
        <v>39965</v>
      </c>
      <c r="CZ88" s="438">
        <v>39995</v>
      </c>
      <c r="DA88" s="438">
        <v>40026</v>
      </c>
      <c r="DB88" s="438">
        <v>40057</v>
      </c>
      <c r="DC88" s="438">
        <v>40087</v>
      </c>
      <c r="DD88" s="438">
        <v>40118</v>
      </c>
      <c r="DE88" s="438">
        <v>40148</v>
      </c>
      <c r="DF88" s="438">
        <v>40179</v>
      </c>
      <c r="DG88" s="438">
        <v>40210</v>
      </c>
      <c r="DH88" s="438">
        <v>40238</v>
      </c>
      <c r="DI88" s="438">
        <v>40269</v>
      </c>
      <c r="DJ88" s="438">
        <v>40299</v>
      </c>
      <c r="DK88" s="438">
        <v>40330</v>
      </c>
      <c r="DL88" s="438">
        <v>40360</v>
      </c>
      <c r="DM88" s="438">
        <v>40391</v>
      </c>
      <c r="DN88" s="438">
        <v>40422</v>
      </c>
      <c r="DO88" s="438">
        <v>40452</v>
      </c>
      <c r="DP88" s="438">
        <v>40483</v>
      </c>
      <c r="DQ88" s="438">
        <v>40513</v>
      </c>
      <c r="DR88" s="438">
        <v>40544</v>
      </c>
      <c r="DS88" s="438">
        <v>40575</v>
      </c>
      <c r="DT88" s="438">
        <v>40603</v>
      </c>
      <c r="DU88" s="438">
        <v>40634</v>
      </c>
      <c r="DV88" s="438">
        <v>40664</v>
      </c>
      <c r="DW88" s="438">
        <v>40695</v>
      </c>
      <c r="DX88" s="438">
        <v>40725</v>
      </c>
      <c r="DY88" s="438">
        <v>40756</v>
      </c>
      <c r="DZ88" s="438">
        <v>40787</v>
      </c>
      <c r="EA88" s="438">
        <v>40817</v>
      </c>
      <c r="EB88" s="438">
        <v>40848</v>
      </c>
      <c r="EC88" s="438">
        <v>40878</v>
      </c>
      <c r="ED88" s="438">
        <v>40909</v>
      </c>
      <c r="EE88" s="438">
        <v>40940</v>
      </c>
      <c r="EF88" s="438">
        <v>40969</v>
      </c>
      <c r="EG88" s="438">
        <v>41000</v>
      </c>
      <c r="EH88" s="438">
        <v>41030</v>
      </c>
      <c r="EI88" s="438">
        <v>41061</v>
      </c>
      <c r="EJ88" s="438">
        <v>41091</v>
      </c>
      <c r="EK88" s="438">
        <v>41122</v>
      </c>
      <c r="EL88" s="438">
        <v>41153</v>
      </c>
      <c r="EM88" s="438">
        <v>41183</v>
      </c>
      <c r="EN88" s="438">
        <v>41214</v>
      </c>
      <c r="EO88" s="438">
        <v>41244</v>
      </c>
      <c r="EP88" s="438">
        <v>41275</v>
      </c>
      <c r="EQ88" s="438">
        <v>41306</v>
      </c>
      <c r="ER88" s="438">
        <v>41334</v>
      </c>
      <c r="ES88" s="438">
        <v>41365</v>
      </c>
      <c r="ET88" s="438">
        <v>41395</v>
      </c>
      <c r="EU88" s="438">
        <v>41426</v>
      </c>
      <c r="EV88" s="438">
        <v>41456</v>
      </c>
      <c r="EW88" s="438">
        <v>41487</v>
      </c>
      <c r="EX88" s="438">
        <v>41518</v>
      </c>
      <c r="EY88" s="438">
        <v>41548</v>
      </c>
      <c r="EZ88" s="438">
        <v>41579</v>
      </c>
      <c r="FA88" s="438">
        <v>41609</v>
      </c>
      <c r="FB88" s="438">
        <v>41640</v>
      </c>
      <c r="FC88" s="438">
        <v>41671</v>
      </c>
      <c r="FD88" s="438">
        <v>41699</v>
      </c>
      <c r="FE88" s="438">
        <v>41730</v>
      </c>
      <c r="FF88" s="438">
        <v>41760</v>
      </c>
      <c r="FG88" s="438">
        <v>41791</v>
      </c>
      <c r="FH88" s="438">
        <v>41821</v>
      </c>
      <c r="FI88" s="438">
        <v>41852</v>
      </c>
      <c r="FJ88" s="438">
        <v>41883</v>
      </c>
      <c r="FK88" s="438">
        <v>41913</v>
      </c>
      <c r="FL88" s="438">
        <v>41944</v>
      </c>
      <c r="FM88" s="438">
        <v>41974</v>
      </c>
      <c r="FN88" s="438">
        <v>42005</v>
      </c>
      <c r="FO88" s="438">
        <v>42036</v>
      </c>
      <c r="FP88" s="438">
        <v>42064</v>
      </c>
      <c r="FQ88" s="438">
        <v>42095</v>
      </c>
      <c r="FR88" s="438">
        <v>42125</v>
      </c>
      <c r="FS88" s="438">
        <v>42156</v>
      </c>
      <c r="FT88" s="438">
        <v>42186</v>
      </c>
      <c r="FU88" s="438">
        <v>42217</v>
      </c>
      <c r="FV88" s="438">
        <v>42248</v>
      </c>
      <c r="FW88" s="438">
        <v>42278</v>
      </c>
      <c r="FX88" s="438">
        <v>42309</v>
      </c>
      <c r="FY88" s="438">
        <v>42339</v>
      </c>
      <c r="FZ88" s="438">
        <v>42370</v>
      </c>
      <c r="GA88" s="438">
        <v>42401</v>
      </c>
      <c r="GB88" s="438">
        <v>42430</v>
      </c>
      <c r="GC88" s="438">
        <v>42461</v>
      </c>
      <c r="GD88" s="438">
        <v>42491</v>
      </c>
      <c r="GE88" s="438">
        <v>42522</v>
      </c>
      <c r="GF88" s="438">
        <v>42552</v>
      </c>
      <c r="GG88" s="438">
        <v>42583</v>
      </c>
      <c r="GH88" s="438">
        <v>42614</v>
      </c>
      <c r="GI88" s="438">
        <v>42644</v>
      </c>
      <c r="GJ88" s="438">
        <v>42675</v>
      </c>
      <c r="GK88" s="439">
        <v>42705</v>
      </c>
    </row>
    <row r="89" spans="1:193" ht="15.75" thickBot="1">
      <c r="A89" s="234" t="s">
        <v>247</v>
      </c>
      <c r="B89" s="235">
        <v>83.8</v>
      </c>
      <c r="C89" s="235">
        <v>141.30000000000001</v>
      </c>
      <c r="D89" s="235">
        <v>175.6</v>
      </c>
      <c r="E89" s="235">
        <v>222.5</v>
      </c>
      <c r="F89" s="235">
        <v>240.2</v>
      </c>
      <c r="G89" s="235">
        <v>267.60000000000002</v>
      </c>
      <c r="H89" s="235">
        <v>305</v>
      </c>
      <c r="I89" s="235">
        <v>278.89999999999998</v>
      </c>
      <c r="J89" s="235">
        <v>299.39999999999998</v>
      </c>
      <c r="K89" s="235">
        <v>273.7</v>
      </c>
      <c r="L89" s="235">
        <v>199.9</v>
      </c>
      <c r="M89" s="235">
        <v>174</v>
      </c>
      <c r="N89" s="235">
        <v>107.1</v>
      </c>
      <c r="O89" s="235">
        <v>129.9</v>
      </c>
      <c r="P89" s="235">
        <v>123.4</v>
      </c>
      <c r="Q89" s="235">
        <v>130.1</v>
      </c>
      <c r="R89" s="235">
        <v>144.1</v>
      </c>
      <c r="S89" s="235">
        <v>131.9</v>
      </c>
      <c r="T89" s="235">
        <v>198.9</v>
      </c>
      <c r="U89" s="235">
        <v>201.9</v>
      </c>
      <c r="V89" s="235">
        <v>193.6</v>
      </c>
      <c r="W89" s="235">
        <v>227.5</v>
      </c>
      <c r="X89" s="235">
        <v>209.2</v>
      </c>
      <c r="Y89" s="235">
        <v>128.69999999999999</v>
      </c>
      <c r="Z89" s="235">
        <v>70</v>
      </c>
      <c r="AA89" s="235">
        <v>112.2</v>
      </c>
      <c r="AB89" s="235">
        <v>132.69999999999999</v>
      </c>
      <c r="AC89" s="235">
        <v>135.1</v>
      </c>
      <c r="AD89" s="235">
        <v>178.9</v>
      </c>
      <c r="AE89" s="235">
        <v>220.2</v>
      </c>
      <c r="AF89" s="235">
        <v>212.4</v>
      </c>
      <c r="AG89" s="235">
        <v>195.1</v>
      </c>
      <c r="AH89" s="235">
        <v>173.3</v>
      </c>
      <c r="AI89" s="235">
        <v>166.4</v>
      </c>
      <c r="AJ89" s="235">
        <v>218.3</v>
      </c>
      <c r="AK89" s="235">
        <v>127</v>
      </c>
      <c r="AL89" s="235">
        <v>203.7</v>
      </c>
      <c r="AM89" s="235">
        <v>194.9</v>
      </c>
      <c r="AN89" s="235">
        <v>174.7</v>
      </c>
      <c r="AO89" s="235">
        <v>231.4</v>
      </c>
      <c r="AP89" s="235">
        <v>353.1</v>
      </c>
      <c r="AQ89" s="235">
        <v>376.6</v>
      </c>
      <c r="AR89" s="235">
        <v>371.8</v>
      </c>
      <c r="AS89" s="235">
        <v>441.8</v>
      </c>
      <c r="AT89" s="235">
        <v>542.70000000000005</v>
      </c>
      <c r="AU89" s="235">
        <v>508.8</v>
      </c>
      <c r="AV89" s="235">
        <v>550.20000000000005</v>
      </c>
      <c r="AW89" s="235">
        <v>357.3</v>
      </c>
      <c r="AX89" s="235">
        <v>334.6</v>
      </c>
      <c r="AY89" s="235">
        <v>395.2</v>
      </c>
      <c r="AZ89" s="235">
        <v>503.3</v>
      </c>
      <c r="BA89" s="235">
        <v>459.9</v>
      </c>
      <c r="BB89" s="235">
        <v>506.6</v>
      </c>
      <c r="BC89" s="235">
        <v>448.8</v>
      </c>
      <c r="BD89" s="235">
        <v>532</v>
      </c>
      <c r="BE89" s="235">
        <v>520.6</v>
      </c>
      <c r="BF89" s="235">
        <v>588</v>
      </c>
      <c r="BG89" s="235">
        <v>541.20000000000005</v>
      </c>
      <c r="BH89" s="235">
        <v>550.1</v>
      </c>
      <c r="BI89" s="235">
        <v>332.5</v>
      </c>
      <c r="BJ89" s="235">
        <v>294.5</v>
      </c>
      <c r="BK89" s="235">
        <v>337.4</v>
      </c>
      <c r="BL89" s="235">
        <v>411.8</v>
      </c>
      <c r="BM89" s="235">
        <v>365.2</v>
      </c>
      <c r="BN89" s="235">
        <v>474.2</v>
      </c>
      <c r="BO89" s="235">
        <v>608.29999999999995</v>
      </c>
      <c r="BP89" s="235">
        <v>699</v>
      </c>
      <c r="BQ89" s="235">
        <v>624.5</v>
      </c>
      <c r="BR89" s="235">
        <v>738.4</v>
      </c>
      <c r="BS89" s="235">
        <v>866.8</v>
      </c>
      <c r="BT89" s="235">
        <v>819.8</v>
      </c>
      <c r="BU89" s="235">
        <v>450.1</v>
      </c>
      <c r="BV89" s="235">
        <v>356.9</v>
      </c>
      <c r="BW89" s="235">
        <v>526.79999999999995</v>
      </c>
      <c r="BX89" s="235">
        <v>628.70000000000005</v>
      </c>
      <c r="BY89" s="235">
        <v>710.2</v>
      </c>
      <c r="BZ89" s="235">
        <v>1069.8</v>
      </c>
      <c r="CA89" s="235">
        <v>1231.3</v>
      </c>
      <c r="CB89" s="235">
        <v>1071.5999999999999</v>
      </c>
      <c r="CC89" s="235">
        <v>1159.4000000000001</v>
      </c>
      <c r="CD89" s="235">
        <v>1305.9000000000001</v>
      </c>
      <c r="CE89" s="235">
        <v>1414</v>
      </c>
      <c r="CF89" s="440">
        <v>1481.2</v>
      </c>
      <c r="CG89" s="440">
        <v>1053.5999999999999</v>
      </c>
      <c r="CH89" s="440">
        <v>817.5</v>
      </c>
      <c r="CI89" s="440">
        <v>1120.7</v>
      </c>
      <c r="CJ89" s="440">
        <v>1350.6</v>
      </c>
      <c r="CK89" s="440">
        <v>1444.7</v>
      </c>
      <c r="CL89" s="440">
        <v>1413.1</v>
      </c>
      <c r="CM89" s="440">
        <v>1648.6</v>
      </c>
      <c r="CN89" s="440">
        <v>1799.6</v>
      </c>
      <c r="CO89" s="440">
        <v>1998.8</v>
      </c>
      <c r="CP89" s="440">
        <v>1905.9</v>
      </c>
      <c r="CQ89" s="440">
        <v>1933.1</v>
      </c>
      <c r="CR89" s="440">
        <v>1769.5</v>
      </c>
      <c r="CS89" s="440">
        <v>1380.3</v>
      </c>
      <c r="CT89" s="440">
        <v>528.5</v>
      </c>
      <c r="CU89" s="440">
        <v>656.2</v>
      </c>
      <c r="CV89" s="440">
        <v>757.5</v>
      </c>
      <c r="CW89" s="440">
        <v>914.6</v>
      </c>
      <c r="CX89" s="440">
        <v>1110</v>
      </c>
      <c r="CY89" s="440">
        <v>1157.3</v>
      </c>
      <c r="CZ89" s="440">
        <v>1392.2</v>
      </c>
      <c r="DA89" s="440">
        <v>1404.4</v>
      </c>
      <c r="DB89" s="440">
        <v>1603.5</v>
      </c>
      <c r="DC89" s="440">
        <v>1848.5</v>
      </c>
      <c r="DD89" s="440">
        <v>1879.4</v>
      </c>
      <c r="DE89" s="440">
        <v>1389.6</v>
      </c>
      <c r="DF89" s="440">
        <v>969.6</v>
      </c>
      <c r="DG89" s="440">
        <v>1383.6</v>
      </c>
      <c r="DH89" s="440">
        <v>1635.6</v>
      </c>
      <c r="DI89" s="440">
        <v>1931.9</v>
      </c>
      <c r="DJ89" s="440">
        <v>2041.6</v>
      </c>
      <c r="DK89" s="440">
        <v>2133</v>
      </c>
      <c r="DL89" s="440">
        <v>2222.6999999999998</v>
      </c>
      <c r="DM89" s="440">
        <v>2160.5</v>
      </c>
      <c r="DN89" s="440">
        <v>2220.6</v>
      </c>
      <c r="DO89" s="440">
        <v>2280.1</v>
      </c>
      <c r="DP89" s="440">
        <v>2403.4</v>
      </c>
      <c r="DQ89" s="440">
        <v>1580.6</v>
      </c>
      <c r="DR89" s="440">
        <v>1244.0999999999999</v>
      </c>
      <c r="DS89" s="440">
        <v>1511.6</v>
      </c>
      <c r="DT89" s="440">
        <v>2073.9</v>
      </c>
      <c r="DU89" s="440">
        <v>2391.9</v>
      </c>
      <c r="DV89" s="440">
        <v>2559.6999999999998</v>
      </c>
      <c r="DW89" s="440">
        <v>2738.6</v>
      </c>
      <c r="DX89" s="440">
        <v>2629</v>
      </c>
      <c r="DY89" s="440">
        <v>2797.7</v>
      </c>
      <c r="DZ89" s="440">
        <v>2864.6</v>
      </c>
      <c r="EA89" s="440">
        <v>3064.9</v>
      </c>
      <c r="EB89" s="440">
        <v>3164.1</v>
      </c>
      <c r="EC89" s="440">
        <v>1996.1</v>
      </c>
      <c r="ED89" s="440">
        <v>1301.7</v>
      </c>
      <c r="EE89" s="440">
        <v>2539.8000000000002</v>
      </c>
      <c r="EF89" s="440">
        <v>2533.1999999999998</v>
      </c>
      <c r="EG89" s="440">
        <v>2659.9</v>
      </c>
      <c r="EH89" s="440">
        <v>2849.6</v>
      </c>
      <c r="EI89" s="440">
        <v>2636.1</v>
      </c>
      <c r="EJ89" s="440">
        <v>2626.7</v>
      </c>
      <c r="EK89" s="440">
        <v>2586.3000000000002</v>
      </c>
      <c r="EL89" s="440">
        <v>2308.3000000000002</v>
      </c>
      <c r="EM89" s="440">
        <v>2075.9</v>
      </c>
      <c r="EN89" s="440">
        <v>1984.7</v>
      </c>
      <c r="EO89" s="440">
        <v>1189</v>
      </c>
      <c r="EP89" s="440">
        <v>731.4</v>
      </c>
      <c r="EQ89" s="440">
        <v>1290.5999999999999</v>
      </c>
      <c r="ER89" s="440">
        <v>1389.7</v>
      </c>
      <c r="ES89" s="440">
        <v>1636</v>
      </c>
      <c r="ET89" s="440">
        <v>1718.8</v>
      </c>
      <c r="EU89" s="440">
        <v>1655.5</v>
      </c>
      <c r="EV89" s="440">
        <v>1581.8</v>
      </c>
      <c r="EW89" s="440">
        <v>1722.8</v>
      </c>
      <c r="EX89" s="440">
        <v>1940.8</v>
      </c>
      <c r="EY89" s="440">
        <v>1906.8</v>
      </c>
      <c r="EZ89" s="440">
        <v>1966.7</v>
      </c>
      <c r="FA89" s="440">
        <v>1125.5</v>
      </c>
      <c r="FB89" s="440">
        <v>705.4</v>
      </c>
      <c r="FC89" s="440">
        <v>1102.5999999999999</v>
      </c>
      <c r="FD89" s="440">
        <v>1425.4</v>
      </c>
      <c r="FE89" s="440">
        <v>1615.4</v>
      </c>
      <c r="FF89" s="440">
        <v>1819.4</v>
      </c>
      <c r="FG89" s="440">
        <v>1771.3</v>
      </c>
      <c r="FH89" s="440">
        <v>1668.7</v>
      </c>
      <c r="FI89" s="440">
        <v>1567.6</v>
      </c>
      <c r="FJ89" s="440">
        <v>1673.2</v>
      </c>
      <c r="FK89" s="440">
        <v>1716.9</v>
      </c>
      <c r="FL89" s="440">
        <v>1740.2</v>
      </c>
      <c r="FM89" s="440">
        <v>878.5</v>
      </c>
      <c r="FN89" s="440">
        <v>498</v>
      </c>
      <c r="FO89" s="440">
        <v>869.4</v>
      </c>
      <c r="FP89" s="440">
        <v>1256.5</v>
      </c>
      <c r="FQ89" s="440">
        <v>1033.5999999999999</v>
      </c>
      <c r="FR89" s="440">
        <v>1133.9000000000001</v>
      </c>
      <c r="FS89" s="440">
        <v>1344.4</v>
      </c>
      <c r="FT89" s="440">
        <v>1420.7</v>
      </c>
      <c r="FU89" s="440">
        <v>1490.2</v>
      </c>
      <c r="FV89" s="440">
        <v>1518.4</v>
      </c>
      <c r="FW89" s="440">
        <v>1478.5</v>
      </c>
      <c r="FX89" s="440">
        <v>1506.2</v>
      </c>
      <c r="FY89" s="440">
        <v>967.6</v>
      </c>
      <c r="FZ89" s="440">
        <v>466.7</v>
      </c>
      <c r="GA89" s="440">
        <v>999.4</v>
      </c>
      <c r="GB89" s="440">
        <v>1293.5</v>
      </c>
      <c r="GC89" s="440">
        <v>1408.4</v>
      </c>
      <c r="GD89" s="440">
        <v>1417.1</v>
      </c>
      <c r="GE89" s="440">
        <v>1283.0999999999999</v>
      </c>
      <c r="GF89" s="440">
        <v>1241</v>
      </c>
      <c r="GG89" s="440">
        <v>1546</v>
      </c>
      <c r="GH89" s="440">
        <v>1528</v>
      </c>
      <c r="GI89" s="440">
        <v>1589</v>
      </c>
      <c r="GJ89" s="440">
        <v>1583</v>
      </c>
      <c r="GK89" s="429">
        <v>838</v>
      </c>
    </row>
    <row r="91" spans="1:193" ht="15.75" thickBot="1">
      <c r="A91" s="357" t="s">
        <v>238</v>
      </c>
    </row>
    <row r="92" spans="1:193" ht="15.75" thickBot="1">
      <c r="A92" s="233"/>
      <c r="B92" s="230">
        <v>36892</v>
      </c>
      <c r="C92" s="230">
        <v>36923</v>
      </c>
      <c r="D92" s="230">
        <v>36951</v>
      </c>
      <c r="E92" s="230">
        <v>36982</v>
      </c>
      <c r="F92" s="230">
        <v>37012</v>
      </c>
      <c r="G92" s="230">
        <v>37043</v>
      </c>
      <c r="H92" s="230">
        <v>37073</v>
      </c>
      <c r="I92" s="230">
        <v>37104</v>
      </c>
      <c r="J92" s="230">
        <v>37135</v>
      </c>
      <c r="K92" s="230">
        <v>37165</v>
      </c>
      <c r="L92" s="230">
        <v>37196</v>
      </c>
      <c r="M92" s="230">
        <v>37226</v>
      </c>
      <c r="N92" s="230">
        <v>37257</v>
      </c>
      <c r="O92" s="230">
        <v>37288</v>
      </c>
      <c r="P92" s="230">
        <v>37316</v>
      </c>
      <c r="Q92" s="230">
        <v>37347</v>
      </c>
      <c r="R92" s="230">
        <v>37377</v>
      </c>
      <c r="S92" s="230">
        <v>37408</v>
      </c>
      <c r="T92" s="230">
        <v>37438</v>
      </c>
      <c r="U92" s="230">
        <v>37469</v>
      </c>
      <c r="V92" s="230">
        <v>37500</v>
      </c>
      <c r="W92" s="230">
        <v>37530</v>
      </c>
      <c r="X92" s="230">
        <v>37561</v>
      </c>
      <c r="Y92" s="230">
        <v>37591</v>
      </c>
      <c r="Z92" s="230">
        <v>37622</v>
      </c>
      <c r="AA92" s="230">
        <v>37653</v>
      </c>
      <c r="AB92" s="230">
        <v>37681</v>
      </c>
      <c r="AC92" s="230">
        <v>37712</v>
      </c>
      <c r="AD92" s="230">
        <v>37742</v>
      </c>
      <c r="AE92" s="230">
        <v>37773</v>
      </c>
      <c r="AF92" s="230">
        <v>37803</v>
      </c>
      <c r="AG92" s="230">
        <v>37834</v>
      </c>
      <c r="AH92" s="230">
        <v>37865</v>
      </c>
      <c r="AI92" s="230">
        <v>37895</v>
      </c>
      <c r="AJ92" s="230">
        <v>37926</v>
      </c>
      <c r="AK92" s="230">
        <v>37956</v>
      </c>
      <c r="AL92" s="230">
        <v>37987</v>
      </c>
      <c r="AM92" s="230">
        <v>38018</v>
      </c>
      <c r="AN92" s="230">
        <v>38047</v>
      </c>
      <c r="AO92" s="230">
        <v>38078</v>
      </c>
      <c r="AP92" s="230">
        <v>38108</v>
      </c>
      <c r="AQ92" s="230">
        <v>38139</v>
      </c>
      <c r="AR92" s="230">
        <v>38169</v>
      </c>
      <c r="AS92" s="230">
        <v>38200</v>
      </c>
      <c r="AT92" s="230">
        <v>38231</v>
      </c>
      <c r="AU92" s="230">
        <v>38261</v>
      </c>
      <c r="AV92" s="230">
        <v>38292</v>
      </c>
      <c r="AW92" s="230">
        <v>38322</v>
      </c>
      <c r="AX92" s="230">
        <v>38353</v>
      </c>
      <c r="AY92" s="230">
        <v>38384</v>
      </c>
      <c r="AZ92" s="230">
        <v>38412</v>
      </c>
      <c r="BA92" s="230">
        <v>38443</v>
      </c>
      <c r="BB92" s="230">
        <v>38473</v>
      </c>
      <c r="BC92" s="230">
        <v>38504</v>
      </c>
      <c r="BD92" s="230">
        <v>38534</v>
      </c>
      <c r="BE92" s="230">
        <v>38565</v>
      </c>
      <c r="BF92" s="230">
        <v>38596</v>
      </c>
      <c r="BG92" s="230">
        <v>38626</v>
      </c>
      <c r="BH92" s="230">
        <v>38657</v>
      </c>
      <c r="BI92" s="230">
        <v>38687</v>
      </c>
      <c r="BJ92" s="230">
        <v>38718</v>
      </c>
      <c r="BK92" s="230">
        <v>38749</v>
      </c>
      <c r="BL92" s="230">
        <v>38777</v>
      </c>
      <c r="BM92" s="230">
        <v>38808</v>
      </c>
      <c r="BN92" s="230">
        <v>38838</v>
      </c>
      <c r="BO92" s="230">
        <v>38869</v>
      </c>
      <c r="BP92" s="230">
        <v>38899</v>
      </c>
      <c r="BQ92" s="230">
        <v>38930</v>
      </c>
      <c r="BR92" s="230">
        <v>38961</v>
      </c>
      <c r="BS92" s="230">
        <v>38991</v>
      </c>
      <c r="BT92" s="230">
        <v>39022</v>
      </c>
      <c r="BU92" s="230">
        <v>39052</v>
      </c>
      <c r="BV92" s="230">
        <v>39083</v>
      </c>
      <c r="BW92" s="230">
        <v>39114</v>
      </c>
      <c r="BX92" s="230">
        <v>39142</v>
      </c>
      <c r="BY92" s="230">
        <v>39173</v>
      </c>
      <c r="BZ92" s="230">
        <v>39203</v>
      </c>
      <c r="CA92" s="230">
        <v>39234</v>
      </c>
      <c r="CB92" s="230">
        <v>39264</v>
      </c>
      <c r="CC92" s="230">
        <v>39295</v>
      </c>
      <c r="CD92" s="230">
        <v>39326</v>
      </c>
      <c r="CE92" s="230">
        <v>39356</v>
      </c>
      <c r="CF92" s="438">
        <v>39387</v>
      </c>
      <c r="CG92" s="438">
        <v>39417</v>
      </c>
      <c r="CH92" s="438">
        <v>39448</v>
      </c>
      <c r="CI92" s="438">
        <v>39479</v>
      </c>
      <c r="CJ92" s="438">
        <v>39508</v>
      </c>
      <c r="CK92" s="438">
        <v>39539</v>
      </c>
      <c r="CL92" s="438">
        <v>39569</v>
      </c>
      <c r="CM92" s="438">
        <v>39600</v>
      </c>
      <c r="CN92" s="438">
        <v>39630</v>
      </c>
      <c r="CO92" s="438">
        <v>39661</v>
      </c>
      <c r="CP92" s="438">
        <v>39692</v>
      </c>
      <c r="CQ92" s="438">
        <v>39722</v>
      </c>
      <c r="CR92" s="438">
        <v>39753</v>
      </c>
      <c r="CS92" s="438">
        <v>39783</v>
      </c>
      <c r="CT92" s="438">
        <v>39814</v>
      </c>
      <c r="CU92" s="438">
        <v>39845</v>
      </c>
      <c r="CV92" s="438">
        <v>39873</v>
      </c>
      <c r="CW92" s="438">
        <v>39904</v>
      </c>
      <c r="CX92" s="438">
        <v>39934</v>
      </c>
      <c r="CY92" s="438">
        <v>39965</v>
      </c>
      <c r="CZ92" s="438">
        <v>39995</v>
      </c>
      <c r="DA92" s="438">
        <v>40026</v>
      </c>
      <c r="DB92" s="438">
        <v>40057</v>
      </c>
      <c r="DC92" s="438">
        <v>40087</v>
      </c>
      <c r="DD92" s="438">
        <v>40118</v>
      </c>
      <c r="DE92" s="438">
        <v>40148</v>
      </c>
      <c r="DF92" s="438">
        <v>40179</v>
      </c>
      <c r="DG92" s="438">
        <v>40210</v>
      </c>
      <c r="DH92" s="438">
        <v>40238</v>
      </c>
      <c r="DI92" s="438">
        <v>40269</v>
      </c>
      <c r="DJ92" s="438">
        <v>40299</v>
      </c>
      <c r="DK92" s="438">
        <v>40330</v>
      </c>
      <c r="DL92" s="438">
        <v>40360</v>
      </c>
      <c r="DM92" s="438">
        <v>40391</v>
      </c>
      <c r="DN92" s="438">
        <v>40422</v>
      </c>
      <c r="DO92" s="438">
        <v>40452</v>
      </c>
      <c r="DP92" s="438">
        <v>40483</v>
      </c>
      <c r="DQ92" s="438">
        <v>40513</v>
      </c>
      <c r="DR92" s="438">
        <v>40544</v>
      </c>
      <c r="DS92" s="438">
        <v>40575</v>
      </c>
      <c r="DT92" s="438">
        <v>40603</v>
      </c>
      <c r="DU92" s="438">
        <v>40634</v>
      </c>
      <c r="DV92" s="438">
        <v>40664</v>
      </c>
      <c r="DW92" s="438">
        <v>40695</v>
      </c>
      <c r="DX92" s="438">
        <v>40725</v>
      </c>
      <c r="DY92" s="438">
        <v>40756</v>
      </c>
      <c r="DZ92" s="438">
        <v>40787</v>
      </c>
      <c r="EA92" s="438">
        <v>40817</v>
      </c>
      <c r="EB92" s="438">
        <v>40848</v>
      </c>
      <c r="EC92" s="438">
        <v>40878</v>
      </c>
      <c r="ED92" s="438">
        <v>40909</v>
      </c>
      <c r="EE92" s="438">
        <v>40940</v>
      </c>
      <c r="EF92" s="438">
        <v>40969</v>
      </c>
      <c r="EG92" s="438">
        <v>41000</v>
      </c>
      <c r="EH92" s="438">
        <v>41030</v>
      </c>
      <c r="EI92" s="438">
        <v>41061</v>
      </c>
      <c r="EJ92" s="438">
        <v>41091</v>
      </c>
      <c r="EK92" s="438">
        <v>41122</v>
      </c>
      <c r="EL92" s="438">
        <v>41153</v>
      </c>
      <c r="EM92" s="438">
        <v>41183</v>
      </c>
      <c r="EN92" s="438">
        <v>41214</v>
      </c>
      <c r="EO92" s="438">
        <v>41244</v>
      </c>
      <c r="EP92" s="438">
        <v>41275</v>
      </c>
      <c r="EQ92" s="438">
        <v>41306</v>
      </c>
      <c r="ER92" s="438">
        <v>41334</v>
      </c>
      <c r="ES92" s="438">
        <v>41365</v>
      </c>
      <c r="ET92" s="438">
        <v>41395</v>
      </c>
      <c r="EU92" s="438">
        <v>41426</v>
      </c>
      <c r="EV92" s="438">
        <v>41456</v>
      </c>
      <c r="EW92" s="438">
        <v>41487</v>
      </c>
      <c r="EX92" s="438">
        <v>41518</v>
      </c>
      <c r="EY92" s="438">
        <v>41548</v>
      </c>
      <c r="EZ92" s="438">
        <v>41579</v>
      </c>
      <c r="FA92" s="438">
        <v>41609</v>
      </c>
      <c r="FB92" s="438">
        <v>41640</v>
      </c>
      <c r="FC92" s="438">
        <v>41671</v>
      </c>
      <c r="FD92" s="438">
        <v>41699</v>
      </c>
      <c r="FE92" s="438">
        <v>41730</v>
      </c>
      <c r="FF92" s="438">
        <v>41760</v>
      </c>
      <c r="FG92" s="438">
        <v>41791</v>
      </c>
      <c r="FH92" s="438">
        <v>41821</v>
      </c>
      <c r="FI92" s="438">
        <v>41852</v>
      </c>
      <c r="FJ92" s="438">
        <v>41883</v>
      </c>
      <c r="FK92" s="438">
        <v>41913</v>
      </c>
      <c r="FL92" s="438">
        <v>41944</v>
      </c>
      <c r="FM92" s="438">
        <v>41974</v>
      </c>
      <c r="FN92" s="438">
        <v>42005</v>
      </c>
      <c r="FO92" s="438">
        <v>42036</v>
      </c>
      <c r="FP92" s="438">
        <v>42064</v>
      </c>
      <c r="FQ92" s="438">
        <v>42095</v>
      </c>
      <c r="FR92" s="438">
        <v>42125</v>
      </c>
      <c r="FS92" s="438">
        <v>42156</v>
      </c>
      <c r="FT92" s="438">
        <v>42186</v>
      </c>
      <c r="FU92" s="438">
        <v>42217</v>
      </c>
      <c r="FV92" s="438">
        <v>42248</v>
      </c>
      <c r="FW92" s="438">
        <v>42278</v>
      </c>
      <c r="FX92" s="438">
        <v>42309</v>
      </c>
      <c r="FY92" s="438">
        <v>42339</v>
      </c>
      <c r="FZ92" s="438">
        <v>42370</v>
      </c>
      <c r="GA92" s="438">
        <v>42401</v>
      </c>
      <c r="GB92" s="438">
        <v>42430</v>
      </c>
      <c r="GC92" s="438">
        <v>42461</v>
      </c>
      <c r="GD92" s="438">
        <v>42491</v>
      </c>
      <c r="GE92" s="438">
        <v>42522</v>
      </c>
      <c r="GF92" s="438">
        <v>42552</v>
      </c>
      <c r="GG92" s="438">
        <v>42583</v>
      </c>
      <c r="GH92" s="438">
        <v>42614</v>
      </c>
      <c r="GI92" s="438">
        <v>42644</v>
      </c>
      <c r="GJ92" s="438">
        <v>42675</v>
      </c>
      <c r="GK92" s="439">
        <v>42705</v>
      </c>
    </row>
    <row r="93" spans="1:193" ht="15.75" thickBot="1">
      <c r="A93" s="234" t="s">
        <v>247</v>
      </c>
      <c r="B93" s="235">
        <v>310</v>
      </c>
      <c r="C93" s="235">
        <v>466</v>
      </c>
      <c r="D93" s="235">
        <v>495</v>
      </c>
      <c r="E93" s="235">
        <v>623</v>
      </c>
      <c r="F93" s="235">
        <v>616</v>
      </c>
      <c r="G93" s="235">
        <v>676</v>
      </c>
      <c r="H93" s="235">
        <v>715</v>
      </c>
      <c r="I93" s="235">
        <v>662</v>
      </c>
      <c r="J93" s="235">
        <v>740</v>
      </c>
      <c r="K93" s="235">
        <v>769</v>
      </c>
      <c r="L93" s="235">
        <v>664</v>
      </c>
      <c r="M93" s="235">
        <v>515</v>
      </c>
      <c r="N93" s="235">
        <v>323</v>
      </c>
      <c r="O93" s="235">
        <v>466</v>
      </c>
      <c r="P93" s="235">
        <v>411</v>
      </c>
      <c r="Q93" s="235">
        <v>423</v>
      </c>
      <c r="R93" s="235">
        <v>433</v>
      </c>
      <c r="S93" s="235">
        <v>337</v>
      </c>
      <c r="T93" s="235">
        <v>524</v>
      </c>
      <c r="U93" s="235">
        <v>527</v>
      </c>
      <c r="V93" s="235">
        <v>500</v>
      </c>
      <c r="W93" s="235">
        <v>620</v>
      </c>
      <c r="X93" s="235">
        <v>584</v>
      </c>
      <c r="Y93" s="235">
        <v>424</v>
      </c>
      <c r="Z93" s="235">
        <v>286</v>
      </c>
      <c r="AA93" s="235">
        <v>442</v>
      </c>
      <c r="AB93" s="235">
        <v>462</v>
      </c>
      <c r="AC93" s="235">
        <v>449</v>
      </c>
      <c r="AD93" s="235">
        <v>560</v>
      </c>
      <c r="AE93" s="235">
        <v>574</v>
      </c>
      <c r="AF93" s="235">
        <v>578</v>
      </c>
      <c r="AG93" s="235">
        <v>564</v>
      </c>
      <c r="AH93" s="235">
        <v>553</v>
      </c>
      <c r="AI93" s="235">
        <v>470</v>
      </c>
      <c r="AJ93" s="235">
        <v>518</v>
      </c>
      <c r="AK93" s="235">
        <v>382</v>
      </c>
      <c r="AL93" s="235">
        <v>389</v>
      </c>
      <c r="AM93" s="235">
        <v>447</v>
      </c>
      <c r="AN93" s="235">
        <v>428</v>
      </c>
      <c r="AO93" s="235">
        <v>543</v>
      </c>
      <c r="AP93" s="235">
        <v>696</v>
      </c>
      <c r="AQ93" s="235">
        <v>736</v>
      </c>
      <c r="AR93" s="235">
        <v>733</v>
      </c>
      <c r="AS93" s="235">
        <v>820</v>
      </c>
      <c r="AT93" s="235">
        <v>918</v>
      </c>
      <c r="AU93" s="235">
        <v>870</v>
      </c>
      <c r="AV93" s="235">
        <v>959</v>
      </c>
      <c r="AW93" s="235">
        <v>640</v>
      </c>
      <c r="AX93" s="235">
        <v>568</v>
      </c>
      <c r="AY93" s="235">
        <v>679</v>
      </c>
      <c r="AZ93" s="235">
        <v>832</v>
      </c>
      <c r="BA93" s="235">
        <v>797</v>
      </c>
      <c r="BB93" s="235">
        <v>918</v>
      </c>
      <c r="BC93" s="235">
        <v>756</v>
      </c>
      <c r="BD93" s="235">
        <v>918</v>
      </c>
      <c r="BE93" s="235">
        <v>896</v>
      </c>
      <c r="BF93" s="235">
        <v>968</v>
      </c>
      <c r="BG93" s="235">
        <v>907</v>
      </c>
      <c r="BH93" s="235">
        <v>917</v>
      </c>
      <c r="BI93" s="235">
        <v>649</v>
      </c>
      <c r="BJ93" s="235">
        <v>557</v>
      </c>
      <c r="BK93" s="235">
        <v>673</v>
      </c>
      <c r="BL93" s="235">
        <v>721</v>
      </c>
      <c r="BM93" s="235">
        <v>788</v>
      </c>
      <c r="BN93" s="235">
        <v>910</v>
      </c>
      <c r="BO93" s="235">
        <v>1103</v>
      </c>
      <c r="BP93" s="235">
        <v>1167</v>
      </c>
      <c r="BQ93" s="235">
        <v>1121</v>
      </c>
      <c r="BR93" s="235">
        <v>1295</v>
      </c>
      <c r="BS93" s="235">
        <v>1381</v>
      </c>
      <c r="BT93" s="235">
        <v>1325</v>
      </c>
      <c r="BU93" s="235">
        <v>861</v>
      </c>
      <c r="BV93" s="235">
        <v>716</v>
      </c>
      <c r="BW93" s="235">
        <v>982</v>
      </c>
      <c r="BX93" s="235">
        <v>1087</v>
      </c>
      <c r="BY93" s="235">
        <v>1193</v>
      </c>
      <c r="BZ93" s="235">
        <v>1597</v>
      </c>
      <c r="CA93" s="235">
        <v>1776</v>
      </c>
      <c r="CB93" s="235">
        <v>1652</v>
      </c>
      <c r="CC93" s="235">
        <v>1723</v>
      </c>
      <c r="CD93" s="235">
        <v>1969</v>
      </c>
      <c r="CE93" s="235">
        <v>2095</v>
      </c>
      <c r="CF93" s="440">
        <v>2195</v>
      </c>
      <c r="CG93" s="440">
        <v>1619</v>
      </c>
      <c r="CH93" s="440">
        <v>1356</v>
      </c>
      <c r="CI93" s="440">
        <v>1931</v>
      </c>
      <c r="CJ93" s="440">
        <v>2214</v>
      </c>
      <c r="CK93" s="440">
        <v>2418</v>
      </c>
      <c r="CL93" s="440">
        <v>2415</v>
      </c>
      <c r="CM93" s="440">
        <v>2639</v>
      </c>
      <c r="CN93" s="440">
        <v>3015</v>
      </c>
      <c r="CO93" s="440">
        <v>3204</v>
      </c>
      <c r="CP93" s="440">
        <v>3123</v>
      </c>
      <c r="CQ93" s="440">
        <v>3210</v>
      </c>
      <c r="CR93" s="440">
        <v>2910</v>
      </c>
      <c r="CS93" s="440">
        <v>2248</v>
      </c>
      <c r="CT93" s="440">
        <v>1275</v>
      </c>
      <c r="CU93" s="440">
        <v>1642</v>
      </c>
      <c r="CV93" s="440">
        <v>1837</v>
      </c>
      <c r="CW93" s="440">
        <v>1966</v>
      </c>
      <c r="CX93" s="440">
        <v>2259</v>
      </c>
      <c r="CY93" s="440">
        <v>2330</v>
      </c>
      <c r="CZ93" s="440">
        <v>2674</v>
      </c>
      <c r="DA93" s="440">
        <v>2666</v>
      </c>
      <c r="DB93" s="440">
        <v>2794</v>
      </c>
      <c r="DC93" s="440">
        <v>3088</v>
      </c>
      <c r="DD93" s="440">
        <v>3104</v>
      </c>
      <c r="DE93" s="440">
        <v>2459</v>
      </c>
      <c r="DF93" s="440">
        <v>1973</v>
      </c>
      <c r="DG93" s="440">
        <v>2515</v>
      </c>
      <c r="DH93" s="440">
        <v>2940</v>
      </c>
      <c r="DI93" s="440">
        <v>3163</v>
      </c>
      <c r="DJ93" s="440">
        <v>3395</v>
      </c>
      <c r="DK93" s="440">
        <v>3499</v>
      </c>
      <c r="DL93" s="440">
        <v>3670</v>
      </c>
      <c r="DM93" s="440">
        <v>3649</v>
      </c>
      <c r="DN93" s="440">
        <v>3621</v>
      </c>
      <c r="DO93" s="440">
        <v>3724</v>
      </c>
      <c r="DP93" s="440">
        <v>3978</v>
      </c>
      <c r="DQ93" s="440">
        <v>2947</v>
      </c>
      <c r="DR93" s="440">
        <v>2235</v>
      </c>
      <c r="DS93" s="440">
        <v>2533</v>
      </c>
      <c r="DT93" s="440">
        <v>3306</v>
      </c>
      <c r="DU93" s="440">
        <v>3602</v>
      </c>
      <c r="DV93" s="440">
        <v>3910</v>
      </c>
      <c r="DW93" s="440">
        <v>4022</v>
      </c>
      <c r="DX93" s="440">
        <v>3975</v>
      </c>
      <c r="DY93" s="440">
        <v>4145</v>
      </c>
      <c r="DZ93" s="440">
        <v>4205</v>
      </c>
      <c r="EA93" s="440">
        <v>4445</v>
      </c>
      <c r="EB93" s="440">
        <v>4527</v>
      </c>
      <c r="EC93" s="440">
        <v>3032</v>
      </c>
      <c r="ED93" s="440">
        <v>2303</v>
      </c>
      <c r="EE93" s="440">
        <v>3985</v>
      </c>
      <c r="EF93" s="440">
        <v>4078</v>
      </c>
      <c r="EG93" s="440">
        <v>4216</v>
      </c>
      <c r="EH93" s="440">
        <v>4398</v>
      </c>
      <c r="EI93" s="440">
        <v>4139</v>
      </c>
      <c r="EJ93" s="440">
        <v>4025</v>
      </c>
      <c r="EK93" s="440">
        <v>3925</v>
      </c>
      <c r="EL93" s="440">
        <v>3418</v>
      </c>
      <c r="EM93" s="440">
        <v>3194</v>
      </c>
      <c r="EN93" s="440">
        <v>3038</v>
      </c>
      <c r="EO93" s="440">
        <v>1879</v>
      </c>
      <c r="EP93" s="440">
        <v>1360</v>
      </c>
      <c r="EQ93" s="440">
        <v>2031</v>
      </c>
      <c r="ER93" s="440">
        <v>2236</v>
      </c>
      <c r="ES93" s="440">
        <v>2586</v>
      </c>
      <c r="ET93" s="440">
        <v>2660</v>
      </c>
      <c r="EU93" s="440">
        <v>2522</v>
      </c>
      <c r="EV93" s="440">
        <v>2566</v>
      </c>
      <c r="EW93" s="440">
        <v>2615</v>
      </c>
      <c r="EX93" s="440">
        <v>2840</v>
      </c>
      <c r="EY93" s="440">
        <v>2864</v>
      </c>
      <c r="EZ93" s="440">
        <v>2836</v>
      </c>
      <c r="FA93" s="440">
        <v>1721</v>
      </c>
      <c r="FB93" s="440">
        <v>1280</v>
      </c>
      <c r="FC93" s="440">
        <v>1829</v>
      </c>
      <c r="FD93" s="440">
        <v>2244</v>
      </c>
      <c r="FE93" s="440">
        <v>2464</v>
      </c>
      <c r="FF93" s="440">
        <v>2743</v>
      </c>
      <c r="FG93" s="440">
        <v>2660</v>
      </c>
      <c r="FH93" s="440">
        <v>2522</v>
      </c>
      <c r="FI93" s="440">
        <v>2358</v>
      </c>
      <c r="FJ93" s="440">
        <v>2456</v>
      </c>
      <c r="FK93" s="440">
        <v>2539</v>
      </c>
      <c r="FL93" s="440">
        <v>2491</v>
      </c>
      <c r="FM93" s="440">
        <v>1420</v>
      </c>
      <c r="FN93" s="440">
        <v>1019</v>
      </c>
      <c r="FO93" s="440">
        <v>1434</v>
      </c>
      <c r="FP93" s="440">
        <v>2019</v>
      </c>
      <c r="FQ93" s="440">
        <v>1838</v>
      </c>
      <c r="FR93" s="440">
        <v>1951</v>
      </c>
      <c r="FS93" s="440">
        <v>2103</v>
      </c>
      <c r="FT93" s="440">
        <v>2200</v>
      </c>
      <c r="FU93" s="440">
        <v>2220</v>
      </c>
      <c r="FV93" s="440">
        <v>2268</v>
      </c>
      <c r="FW93" s="440">
        <v>2195</v>
      </c>
      <c r="FX93" s="440">
        <v>2181</v>
      </c>
      <c r="FY93" s="440">
        <v>1459</v>
      </c>
      <c r="FZ93" s="440">
        <v>910</v>
      </c>
      <c r="GA93" s="440">
        <v>1547</v>
      </c>
      <c r="GB93" s="440">
        <v>1884</v>
      </c>
      <c r="GC93" s="440">
        <v>2012</v>
      </c>
      <c r="GD93" s="440">
        <v>2105</v>
      </c>
      <c r="GE93" s="440">
        <v>1907</v>
      </c>
      <c r="GF93" s="440">
        <v>1891</v>
      </c>
      <c r="GG93" s="440">
        <v>2261</v>
      </c>
      <c r="GH93" s="440">
        <v>2400</v>
      </c>
      <c r="GI93" s="440">
        <v>2405</v>
      </c>
      <c r="GJ93" s="440">
        <v>2339</v>
      </c>
      <c r="GK93" s="429">
        <v>1383</v>
      </c>
    </row>
    <row r="99" spans="1:193" ht="15.75" thickBot="1">
      <c r="A99" s="357" t="s">
        <v>329</v>
      </c>
    </row>
    <row r="100" spans="1:193" ht="15.75" thickBot="1">
      <c r="A100" s="26" t="s">
        <v>177</v>
      </c>
      <c r="B100" s="230">
        <v>36892</v>
      </c>
      <c r="C100" s="230">
        <v>36923</v>
      </c>
      <c r="D100" s="230">
        <v>36951</v>
      </c>
      <c r="E100" s="230">
        <v>36982</v>
      </c>
      <c r="F100" s="230">
        <v>37012</v>
      </c>
      <c r="G100" s="230">
        <v>37043</v>
      </c>
      <c r="H100" s="230">
        <v>37073</v>
      </c>
      <c r="I100" s="230">
        <v>37104</v>
      </c>
      <c r="J100" s="230">
        <v>37135</v>
      </c>
      <c r="K100" s="230">
        <v>37165</v>
      </c>
      <c r="L100" s="230">
        <v>37196</v>
      </c>
      <c r="M100" s="230">
        <v>37226</v>
      </c>
      <c r="N100" s="230">
        <v>37257</v>
      </c>
      <c r="O100" s="230">
        <v>37288</v>
      </c>
      <c r="P100" s="230">
        <v>37316</v>
      </c>
      <c r="Q100" s="230">
        <v>37347</v>
      </c>
      <c r="R100" s="230">
        <v>37377</v>
      </c>
      <c r="S100" s="230">
        <v>37408</v>
      </c>
      <c r="T100" s="230">
        <v>37438</v>
      </c>
      <c r="U100" s="230">
        <v>37469</v>
      </c>
      <c r="V100" s="230">
        <v>37500</v>
      </c>
      <c r="W100" s="230">
        <v>37530</v>
      </c>
      <c r="X100" s="230">
        <v>37561</v>
      </c>
      <c r="Y100" s="230">
        <v>37591</v>
      </c>
      <c r="Z100" s="230">
        <v>37622</v>
      </c>
      <c r="AA100" s="230">
        <v>37653</v>
      </c>
      <c r="AB100" s="230">
        <v>37681</v>
      </c>
      <c r="AC100" s="230">
        <v>37712</v>
      </c>
      <c r="AD100" s="230">
        <v>37742</v>
      </c>
      <c r="AE100" s="230">
        <v>37773</v>
      </c>
      <c r="AF100" s="230">
        <v>37803</v>
      </c>
      <c r="AG100" s="230">
        <v>37834</v>
      </c>
      <c r="AH100" s="230">
        <v>37865</v>
      </c>
      <c r="AI100" s="230">
        <v>37895</v>
      </c>
      <c r="AJ100" s="230">
        <v>37926</v>
      </c>
      <c r="AK100" s="230">
        <v>37956</v>
      </c>
      <c r="AL100" s="230">
        <v>37987</v>
      </c>
      <c r="AM100" s="230">
        <v>38018</v>
      </c>
      <c r="AN100" s="230">
        <v>38047</v>
      </c>
      <c r="AO100" s="230">
        <v>38078</v>
      </c>
      <c r="AP100" s="230">
        <v>38108</v>
      </c>
      <c r="AQ100" s="230">
        <v>38139</v>
      </c>
      <c r="AR100" s="230">
        <v>38169</v>
      </c>
      <c r="AS100" s="230">
        <v>38200</v>
      </c>
      <c r="AT100" s="230">
        <v>38231</v>
      </c>
      <c r="AU100" s="230">
        <v>38261</v>
      </c>
      <c r="AV100" s="230">
        <v>38292</v>
      </c>
      <c r="AW100" s="230">
        <v>38322</v>
      </c>
      <c r="AX100" s="230">
        <v>38353</v>
      </c>
      <c r="AY100" s="230">
        <v>38384</v>
      </c>
      <c r="AZ100" s="230">
        <v>38412</v>
      </c>
      <c r="BA100" s="230">
        <v>38443</v>
      </c>
      <c r="BB100" s="230">
        <v>38473</v>
      </c>
      <c r="BC100" s="230">
        <v>38504</v>
      </c>
      <c r="BD100" s="230">
        <v>38534</v>
      </c>
      <c r="BE100" s="230">
        <v>38565</v>
      </c>
      <c r="BF100" s="230">
        <v>38596</v>
      </c>
      <c r="BG100" s="230">
        <v>38626</v>
      </c>
      <c r="BH100" s="230">
        <v>38657</v>
      </c>
      <c r="BI100" s="230">
        <v>38687</v>
      </c>
      <c r="BJ100" s="230">
        <v>38718</v>
      </c>
      <c r="BK100" s="230">
        <v>38749</v>
      </c>
      <c r="BL100" s="230">
        <v>38777</v>
      </c>
      <c r="BM100" s="230">
        <v>38808</v>
      </c>
      <c r="BN100" s="230">
        <v>38838</v>
      </c>
      <c r="BO100" s="230">
        <v>38869</v>
      </c>
      <c r="BP100" s="230">
        <v>38899</v>
      </c>
      <c r="BQ100" s="230">
        <v>38930</v>
      </c>
      <c r="BR100" s="230">
        <v>38961</v>
      </c>
      <c r="BS100" s="230">
        <v>38991</v>
      </c>
      <c r="BT100" s="230">
        <v>39022</v>
      </c>
      <c r="BU100" s="230">
        <v>39052</v>
      </c>
      <c r="BV100" s="230">
        <v>39083</v>
      </c>
      <c r="BW100" s="230">
        <v>39114</v>
      </c>
      <c r="BX100" s="230">
        <v>39142</v>
      </c>
      <c r="BY100" s="230">
        <v>39173</v>
      </c>
      <c r="BZ100" s="230">
        <v>39203</v>
      </c>
      <c r="CA100" s="230">
        <v>39234</v>
      </c>
      <c r="CB100" s="230">
        <v>39264</v>
      </c>
      <c r="CC100" s="230">
        <v>39295</v>
      </c>
      <c r="CD100" s="230">
        <v>39326</v>
      </c>
      <c r="CE100" s="230">
        <v>39356</v>
      </c>
      <c r="CF100" s="438">
        <v>39387</v>
      </c>
      <c r="CG100" s="438">
        <v>39417</v>
      </c>
      <c r="CH100" s="438">
        <v>39448</v>
      </c>
      <c r="CI100" s="438">
        <v>39479</v>
      </c>
      <c r="CJ100" s="438">
        <v>39508</v>
      </c>
      <c r="CK100" s="438">
        <v>39539</v>
      </c>
      <c r="CL100" s="438">
        <v>39569</v>
      </c>
      <c r="CM100" s="438">
        <v>39600</v>
      </c>
      <c r="CN100" s="438">
        <v>39630</v>
      </c>
      <c r="CO100" s="438">
        <v>39661</v>
      </c>
      <c r="CP100" s="438">
        <v>39692</v>
      </c>
      <c r="CQ100" s="438">
        <v>39722</v>
      </c>
      <c r="CR100" s="438">
        <v>39753</v>
      </c>
      <c r="CS100" s="438">
        <v>39783</v>
      </c>
      <c r="CT100" s="438">
        <v>39814</v>
      </c>
      <c r="CU100" s="438">
        <v>39845</v>
      </c>
      <c r="CV100" s="438">
        <v>39873</v>
      </c>
      <c r="CW100" s="438">
        <v>39904</v>
      </c>
      <c r="CX100" s="438">
        <v>39934</v>
      </c>
      <c r="CY100" s="438">
        <v>39965</v>
      </c>
      <c r="CZ100" s="438">
        <v>39995</v>
      </c>
      <c r="DA100" s="438">
        <v>40026</v>
      </c>
      <c r="DB100" s="438">
        <v>40057</v>
      </c>
      <c r="DC100" s="438">
        <v>40087</v>
      </c>
      <c r="DD100" s="438">
        <v>40118</v>
      </c>
      <c r="DE100" s="438">
        <v>40148</v>
      </c>
      <c r="DF100" s="438">
        <v>40179</v>
      </c>
      <c r="DG100" s="438">
        <v>40210</v>
      </c>
      <c r="DH100" s="438">
        <v>40238</v>
      </c>
      <c r="DI100" s="438">
        <v>40269</v>
      </c>
      <c r="DJ100" s="438">
        <v>40299</v>
      </c>
      <c r="DK100" s="438">
        <v>40330</v>
      </c>
      <c r="DL100" s="438">
        <v>40360</v>
      </c>
      <c r="DM100" s="438">
        <v>40391</v>
      </c>
      <c r="DN100" s="438">
        <v>40422</v>
      </c>
      <c r="DO100" s="438">
        <v>40452</v>
      </c>
      <c r="DP100" s="438">
        <v>40483</v>
      </c>
      <c r="DQ100" s="438">
        <v>40513</v>
      </c>
      <c r="DR100" s="438">
        <v>40544</v>
      </c>
      <c r="DS100" s="438">
        <v>40575</v>
      </c>
      <c r="DT100" s="438">
        <v>40603</v>
      </c>
      <c r="DU100" s="438">
        <v>40634</v>
      </c>
      <c r="DV100" s="438">
        <v>40664</v>
      </c>
      <c r="DW100" s="438">
        <v>40695</v>
      </c>
      <c r="DX100" s="438">
        <v>40725</v>
      </c>
      <c r="DY100" s="438">
        <v>40756</v>
      </c>
      <c r="DZ100" s="438">
        <v>40787</v>
      </c>
      <c r="EA100" s="438">
        <v>40817</v>
      </c>
      <c r="EB100" s="438">
        <v>40848</v>
      </c>
      <c r="EC100" s="438">
        <v>40878</v>
      </c>
      <c r="ED100" s="438">
        <v>40909</v>
      </c>
      <c r="EE100" s="438">
        <v>40940</v>
      </c>
      <c r="EF100" s="438">
        <v>40969</v>
      </c>
      <c r="EG100" s="438">
        <v>41000</v>
      </c>
      <c r="EH100" s="438">
        <v>41030</v>
      </c>
      <c r="EI100" s="438">
        <v>41061</v>
      </c>
      <c r="EJ100" s="438">
        <v>41091</v>
      </c>
      <c r="EK100" s="438">
        <v>41122</v>
      </c>
      <c r="EL100" s="438">
        <v>41153</v>
      </c>
      <c r="EM100" s="438">
        <v>41183</v>
      </c>
      <c r="EN100" s="438">
        <v>41214</v>
      </c>
      <c r="EO100" s="438">
        <v>41244</v>
      </c>
      <c r="EP100" s="438">
        <v>41275</v>
      </c>
      <c r="EQ100" s="438">
        <v>41306</v>
      </c>
      <c r="ER100" s="438">
        <v>41334</v>
      </c>
      <c r="ES100" s="438">
        <v>41365</v>
      </c>
      <c r="ET100" s="438">
        <v>41395</v>
      </c>
      <c r="EU100" s="438">
        <v>41426</v>
      </c>
      <c r="EV100" s="438">
        <v>41456</v>
      </c>
      <c r="EW100" s="438">
        <v>41487</v>
      </c>
      <c r="EX100" s="438">
        <v>41518</v>
      </c>
      <c r="EY100" s="438">
        <v>41548</v>
      </c>
      <c r="EZ100" s="438">
        <v>41579</v>
      </c>
      <c r="FA100" s="438">
        <v>41609</v>
      </c>
      <c r="FB100" s="438">
        <v>41640</v>
      </c>
      <c r="FC100" s="438">
        <v>41671</v>
      </c>
      <c r="FD100" s="438">
        <v>41699</v>
      </c>
      <c r="FE100" s="438">
        <v>41730</v>
      </c>
      <c r="FF100" s="438">
        <v>41760</v>
      </c>
      <c r="FG100" s="438">
        <v>41791</v>
      </c>
      <c r="FH100" s="438">
        <v>41821</v>
      </c>
      <c r="FI100" s="438">
        <v>41852</v>
      </c>
      <c r="FJ100" s="438">
        <v>41883</v>
      </c>
      <c r="FK100" s="438">
        <v>41913</v>
      </c>
      <c r="FL100" s="438">
        <v>41944</v>
      </c>
      <c r="FM100" s="438">
        <v>41974</v>
      </c>
      <c r="FN100" s="438">
        <v>42005</v>
      </c>
      <c r="FO100" s="438">
        <v>42036</v>
      </c>
      <c r="FP100" s="438">
        <v>42064</v>
      </c>
      <c r="FQ100" s="438">
        <v>42095</v>
      </c>
      <c r="FR100" s="438">
        <v>42125</v>
      </c>
      <c r="FS100" s="438">
        <v>42156</v>
      </c>
      <c r="FT100" s="438">
        <v>42186</v>
      </c>
      <c r="FU100" s="438">
        <v>42217</v>
      </c>
      <c r="FV100" s="438">
        <v>42248</v>
      </c>
      <c r="FW100" s="438">
        <v>42278</v>
      </c>
      <c r="FX100" s="438">
        <v>42309</v>
      </c>
      <c r="FY100" s="438">
        <v>42339</v>
      </c>
      <c r="FZ100" s="438">
        <v>42370</v>
      </c>
      <c r="GA100" s="438">
        <v>42401</v>
      </c>
      <c r="GB100" s="438">
        <v>42430</v>
      </c>
      <c r="GC100" s="438">
        <v>42461</v>
      </c>
      <c r="GD100" s="438">
        <v>42491</v>
      </c>
      <c r="GE100" s="438">
        <v>42522</v>
      </c>
      <c r="GF100" s="438">
        <v>42552</v>
      </c>
      <c r="GG100" s="438">
        <v>42583</v>
      </c>
      <c r="GH100" s="438">
        <v>42614</v>
      </c>
      <c r="GI100" s="438">
        <v>42644</v>
      </c>
      <c r="GJ100" s="438">
        <v>42675</v>
      </c>
      <c r="GK100" s="438">
        <v>42705</v>
      </c>
    </row>
    <row r="101" spans="1:193">
      <c r="A101" s="231" t="s">
        <v>337</v>
      </c>
      <c r="B101" s="348">
        <v>536</v>
      </c>
      <c r="C101" s="348">
        <v>532</v>
      </c>
      <c r="D101" s="348">
        <v>526</v>
      </c>
      <c r="E101" s="348">
        <v>527</v>
      </c>
      <c r="F101" s="348">
        <v>530</v>
      </c>
      <c r="G101" s="348">
        <v>533</v>
      </c>
      <c r="H101" s="348">
        <v>535</v>
      </c>
      <c r="I101" s="348">
        <v>542</v>
      </c>
      <c r="J101" s="348">
        <v>541</v>
      </c>
      <c r="K101" s="348">
        <v>543</v>
      </c>
      <c r="L101" s="348">
        <v>558</v>
      </c>
      <c r="M101" s="348">
        <v>532</v>
      </c>
      <c r="N101" s="348">
        <v>532</v>
      </c>
      <c r="O101" s="348">
        <v>536</v>
      </c>
      <c r="P101" s="348">
        <v>543</v>
      </c>
      <c r="Q101" s="348">
        <v>545</v>
      </c>
      <c r="R101" s="348">
        <v>536</v>
      </c>
      <c r="S101" s="348">
        <v>537</v>
      </c>
      <c r="T101" s="348">
        <v>538</v>
      </c>
      <c r="U101" s="348">
        <v>430</v>
      </c>
      <c r="V101" s="348">
        <v>519</v>
      </c>
      <c r="W101" s="348">
        <v>535</v>
      </c>
      <c r="X101" s="348">
        <v>535</v>
      </c>
      <c r="Y101" s="348">
        <v>563</v>
      </c>
      <c r="Z101" s="348">
        <v>523</v>
      </c>
      <c r="AA101" s="348">
        <v>510</v>
      </c>
      <c r="AB101" s="348">
        <v>511</v>
      </c>
      <c r="AC101" s="348">
        <v>508</v>
      </c>
      <c r="AD101" s="348">
        <v>501</v>
      </c>
      <c r="AE101" s="348">
        <v>500</v>
      </c>
      <c r="AF101" s="348">
        <v>496</v>
      </c>
      <c r="AG101" s="348">
        <v>479</v>
      </c>
      <c r="AH101" s="348">
        <v>488</v>
      </c>
      <c r="AI101" s="348">
        <v>482</v>
      </c>
      <c r="AJ101" s="348">
        <v>259</v>
      </c>
      <c r="AK101" s="348">
        <v>264</v>
      </c>
      <c r="AL101" s="348">
        <v>274</v>
      </c>
      <c r="AM101" s="348">
        <v>280</v>
      </c>
      <c r="AN101" s="348">
        <v>268</v>
      </c>
      <c r="AO101" s="348">
        <v>297</v>
      </c>
      <c r="AP101" s="348">
        <v>325</v>
      </c>
      <c r="AQ101" s="348">
        <v>334</v>
      </c>
      <c r="AR101" s="348">
        <v>322</v>
      </c>
      <c r="AS101" s="348">
        <v>352</v>
      </c>
      <c r="AT101" s="348">
        <v>371</v>
      </c>
      <c r="AU101" s="348">
        <v>315</v>
      </c>
      <c r="AV101" s="348">
        <v>397</v>
      </c>
      <c r="AW101" s="348">
        <v>409</v>
      </c>
      <c r="AX101" s="348">
        <v>406</v>
      </c>
      <c r="AY101" s="348">
        <v>548</v>
      </c>
      <c r="AZ101" s="348">
        <v>427</v>
      </c>
      <c r="BA101" s="348">
        <v>455</v>
      </c>
      <c r="BB101" s="348">
        <v>447</v>
      </c>
      <c r="BC101" s="348">
        <v>453</v>
      </c>
      <c r="BD101" s="348">
        <v>489</v>
      </c>
      <c r="BE101" s="348">
        <v>500</v>
      </c>
      <c r="BF101" s="348">
        <v>666</v>
      </c>
      <c r="BG101" s="348">
        <v>644</v>
      </c>
      <c r="BH101" s="348">
        <v>631</v>
      </c>
      <c r="BI101" s="348">
        <v>690</v>
      </c>
      <c r="BJ101" s="348">
        <v>612</v>
      </c>
      <c r="BK101" s="348">
        <v>667</v>
      </c>
      <c r="BL101" s="348">
        <v>722</v>
      </c>
      <c r="BM101" s="348">
        <v>687</v>
      </c>
      <c r="BN101" s="348">
        <v>855</v>
      </c>
      <c r="BO101" s="348">
        <v>638</v>
      </c>
      <c r="BP101" s="348">
        <v>639</v>
      </c>
      <c r="BQ101" s="348">
        <v>655</v>
      </c>
      <c r="BR101" s="348">
        <v>666</v>
      </c>
      <c r="BS101" s="348">
        <v>662</v>
      </c>
      <c r="BT101" s="348">
        <v>659</v>
      </c>
      <c r="BU101" s="348">
        <v>617</v>
      </c>
      <c r="BV101" s="348">
        <v>706</v>
      </c>
      <c r="BW101" s="348">
        <v>739</v>
      </c>
      <c r="BX101" s="348">
        <v>759</v>
      </c>
      <c r="BY101" s="348">
        <v>853</v>
      </c>
      <c r="BZ101" s="348">
        <v>971</v>
      </c>
      <c r="CA101" s="348">
        <v>1019</v>
      </c>
      <c r="CB101" s="348">
        <v>1030</v>
      </c>
      <c r="CC101" s="348">
        <v>1076</v>
      </c>
      <c r="CD101" s="348">
        <v>929</v>
      </c>
      <c r="CE101" s="348">
        <v>932</v>
      </c>
      <c r="CF101" s="441">
        <v>997</v>
      </c>
      <c r="CG101" s="441">
        <v>1013</v>
      </c>
      <c r="CH101" s="441">
        <v>1022</v>
      </c>
      <c r="CI101" s="441">
        <v>1010</v>
      </c>
      <c r="CJ101" s="441">
        <v>1005</v>
      </c>
      <c r="CK101" s="441">
        <v>1046</v>
      </c>
      <c r="CL101" s="441">
        <v>1003</v>
      </c>
      <c r="CM101" s="441">
        <v>1058</v>
      </c>
      <c r="CN101" s="441">
        <v>1027</v>
      </c>
      <c r="CO101" s="441">
        <v>946</v>
      </c>
      <c r="CP101" s="441">
        <v>1044</v>
      </c>
      <c r="CQ101" s="441">
        <v>1052</v>
      </c>
      <c r="CR101" s="441">
        <v>1038</v>
      </c>
      <c r="CS101" s="441">
        <v>1070</v>
      </c>
      <c r="CT101" s="441">
        <v>968</v>
      </c>
      <c r="CU101" s="441">
        <v>904</v>
      </c>
      <c r="CV101" s="441">
        <v>813</v>
      </c>
      <c r="CW101" s="441">
        <v>851</v>
      </c>
      <c r="CX101" s="441">
        <v>792</v>
      </c>
      <c r="CY101" s="441">
        <v>795</v>
      </c>
      <c r="CZ101" s="441">
        <v>837</v>
      </c>
      <c r="DA101" s="441">
        <v>793</v>
      </c>
      <c r="DB101" s="441">
        <v>814</v>
      </c>
      <c r="DC101" s="441">
        <v>822</v>
      </c>
      <c r="DD101" s="441">
        <v>812</v>
      </c>
      <c r="DE101" s="441">
        <v>859</v>
      </c>
      <c r="DF101" s="441">
        <v>805</v>
      </c>
      <c r="DG101" s="441">
        <v>822</v>
      </c>
      <c r="DH101" s="441">
        <v>822</v>
      </c>
      <c r="DI101" s="441">
        <v>844</v>
      </c>
      <c r="DJ101" s="441">
        <v>836</v>
      </c>
      <c r="DK101" s="441">
        <v>896</v>
      </c>
      <c r="DL101" s="441">
        <v>890</v>
      </c>
      <c r="DM101" s="441">
        <v>891</v>
      </c>
      <c r="DN101" s="441">
        <v>908</v>
      </c>
      <c r="DO101" s="441">
        <v>886</v>
      </c>
      <c r="DP101" s="441">
        <v>935</v>
      </c>
      <c r="DQ101" s="441">
        <v>1036</v>
      </c>
      <c r="DR101" s="441">
        <v>1000</v>
      </c>
      <c r="DS101" s="441">
        <v>1059</v>
      </c>
      <c r="DT101" s="441">
        <v>1048</v>
      </c>
      <c r="DU101" s="441">
        <v>872</v>
      </c>
      <c r="DV101" s="441">
        <v>1047</v>
      </c>
      <c r="DW101" s="441">
        <v>1074</v>
      </c>
      <c r="DX101" s="441">
        <v>1121</v>
      </c>
      <c r="DY101" s="441">
        <v>1145</v>
      </c>
      <c r="DZ101" s="441">
        <v>1167</v>
      </c>
      <c r="EA101" s="441">
        <v>1129</v>
      </c>
      <c r="EB101" s="441">
        <v>1137</v>
      </c>
      <c r="EC101" s="441">
        <v>1145</v>
      </c>
      <c r="ED101" s="441">
        <v>1178</v>
      </c>
      <c r="EE101" s="441">
        <v>1229</v>
      </c>
      <c r="EF101" s="441">
        <v>1210</v>
      </c>
      <c r="EG101" s="441">
        <v>1199</v>
      </c>
      <c r="EH101" s="441">
        <v>1309</v>
      </c>
      <c r="EI101" s="441">
        <v>1192</v>
      </c>
      <c r="EJ101" s="441">
        <v>1282</v>
      </c>
      <c r="EK101" s="441">
        <v>1322</v>
      </c>
      <c r="EL101" s="441">
        <v>1303</v>
      </c>
      <c r="EM101" s="441">
        <v>1303</v>
      </c>
      <c r="EN101" s="441">
        <v>1308</v>
      </c>
      <c r="EO101" s="441">
        <v>1374</v>
      </c>
      <c r="EP101" s="441">
        <v>1225</v>
      </c>
      <c r="EQ101" s="441">
        <v>1253</v>
      </c>
      <c r="ER101" s="441">
        <v>1276</v>
      </c>
      <c r="ES101" s="441">
        <v>1300</v>
      </c>
      <c r="ET101" s="441">
        <v>1220</v>
      </c>
      <c r="EU101" s="441">
        <v>1258</v>
      </c>
      <c r="EV101" s="441">
        <v>1256</v>
      </c>
      <c r="EW101" s="441">
        <v>1287</v>
      </c>
      <c r="EX101" s="441">
        <v>1216</v>
      </c>
      <c r="EY101" s="441">
        <v>1220</v>
      </c>
      <c r="EZ101" s="441">
        <v>1241</v>
      </c>
      <c r="FA101" s="441">
        <v>1229</v>
      </c>
      <c r="FB101" s="441">
        <v>1227</v>
      </c>
      <c r="FC101" s="441">
        <v>1216</v>
      </c>
      <c r="FD101" s="441">
        <v>1220</v>
      </c>
      <c r="FE101" s="441">
        <v>921</v>
      </c>
      <c r="FF101" s="441">
        <v>966</v>
      </c>
      <c r="FG101" s="441">
        <v>935</v>
      </c>
      <c r="FH101" s="441">
        <v>1019</v>
      </c>
      <c r="FI101" s="441">
        <v>1080</v>
      </c>
      <c r="FJ101" s="441">
        <v>1097</v>
      </c>
      <c r="FK101" s="441">
        <v>1041</v>
      </c>
      <c r="FL101" s="441">
        <v>1030</v>
      </c>
      <c r="FM101" s="441">
        <v>1021</v>
      </c>
      <c r="FN101" s="441">
        <v>1012</v>
      </c>
      <c r="FO101" s="441">
        <v>994</v>
      </c>
      <c r="FP101" s="441">
        <v>959</v>
      </c>
      <c r="FQ101" s="441">
        <v>1005</v>
      </c>
      <c r="FR101" s="441">
        <v>962</v>
      </c>
      <c r="FS101" s="441">
        <v>1085</v>
      </c>
      <c r="FT101" s="441">
        <v>989</v>
      </c>
      <c r="FU101" s="441">
        <v>980</v>
      </c>
      <c r="FV101" s="441">
        <v>961</v>
      </c>
      <c r="FW101" s="441">
        <v>966</v>
      </c>
      <c r="FX101" s="441">
        <v>1015</v>
      </c>
      <c r="FY101" s="441">
        <v>973</v>
      </c>
      <c r="FZ101" s="441">
        <v>960</v>
      </c>
      <c r="GA101" s="441">
        <v>895</v>
      </c>
      <c r="GB101" s="441">
        <v>875</v>
      </c>
      <c r="GC101" s="441">
        <v>812</v>
      </c>
      <c r="GD101" s="441">
        <v>842</v>
      </c>
      <c r="GE101" s="441">
        <v>854</v>
      </c>
      <c r="GF101" s="441">
        <v>858</v>
      </c>
      <c r="GG101" s="441">
        <v>851</v>
      </c>
      <c r="GH101" s="441">
        <v>1005</v>
      </c>
      <c r="GI101" s="441">
        <v>804</v>
      </c>
      <c r="GJ101" s="441">
        <v>785</v>
      </c>
      <c r="GK101" s="430">
        <v>789</v>
      </c>
    </row>
    <row r="102" spans="1:193">
      <c r="A102" s="231" t="s">
        <v>240</v>
      </c>
      <c r="B102" s="442">
        <v>4598</v>
      </c>
      <c r="C102" s="442">
        <v>4640</v>
      </c>
      <c r="D102" s="442">
        <v>4621</v>
      </c>
      <c r="E102" s="442">
        <v>4668</v>
      </c>
      <c r="F102" s="442">
        <v>4512</v>
      </c>
      <c r="G102" s="442">
        <v>4571</v>
      </c>
      <c r="H102" s="442">
        <v>4634</v>
      </c>
      <c r="I102" s="442">
        <v>4618</v>
      </c>
      <c r="J102" s="442">
        <v>4556</v>
      </c>
      <c r="K102" s="442">
        <v>4584</v>
      </c>
      <c r="L102" s="442">
        <v>4564</v>
      </c>
      <c r="M102" s="442">
        <v>4812</v>
      </c>
      <c r="N102" s="442">
        <v>4658</v>
      </c>
      <c r="O102" s="442">
        <v>4644</v>
      </c>
      <c r="P102" s="442">
        <v>4656</v>
      </c>
      <c r="Q102" s="442">
        <v>4646</v>
      </c>
      <c r="R102" s="442">
        <v>4699</v>
      </c>
      <c r="S102" s="442">
        <v>4665</v>
      </c>
      <c r="T102" s="442">
        <v>4723</v>
      </c>
      <c r="U102" s="442">
        <v>4709</v>
      </c>
      <c r="V102" s="442">
        <v>4611</v>
      </c>
      <c r="W102" s="442">
        <v>4709</v>
      </c>
      <c r="X102" s="442">
        <v>4619</v>
      </c>
      <c r="Y102" s="442">
        <v>4651</v>
      </c>
      <c r="Z102" s="442">
        <v>4658</v>
      </c>
      <c r="AA102" s="442">
        <v>4644</v>
      </c>
      <c r="AB102" s="442">
        <v>4581</v>
      </c>
      <c r="AC102" s="442">
        <v>4616</v>
      </c>
      <c r="AD102" s="442">
        <v>4558</v>
      </c>
      <c r="AE102" s="442">
        <v>4620</v>
      </c>
      <c r="AF102" s="442">
        <v>4550</v>
      </c>
      <c r="AG102" s="442">
        <v>4761</v>
      </c>
      <c r="AH102" s="442">
        <v>4659</v>
      </c>
      <c r="AI102" s="442">
        <v>4586</v>
      </c>
      <c r="AJ102" s="442">
        <v>4551</v>
      </c>
      <c r="AK102" s="442">
        <v>4551</v>
      </c>
      <c r="AL102" s="442">
        <v>4372</v>
      </c>
      <c r="AM102" s="442">
        <v>4425</v>
      </c>
      <c r="AN102" s="442">
        <v>4470</v>
      </c>
      <c r="AO102" s="442">
        <v>4549</v>
      </c>
      <c r="AP102" s="442">
        <v>4622</v>
      </c>
      <c r="AQ102" s="442">
        <v>4615</v>
      </c>
      <c r="AR102" s="442">
        <v>4616</v>
      </c>
      <c r="AS102" s="442">
        <v>4866</v>
      </c>
      <c r="AT102" s="442">
        <v>4654</v>
      </c>
      <c r="AU102" s="442">
        <v>4587</v>
      </c>
      <c r="AV102" s="442">
        <v>4678</v>
      </c>
      <c r="AW102" s="442">
        <v>4708</v>
      </c>
      <c r="AX102" s="442">
        <v>4721</v>
      </c>
      <c r="AY102" s="442">
        <v>4750</v>
      </c>
      <c r="AZ102" s="442">
        <v>4745</v>
      </c>
      <c r="BA102" s="442">
        <v>4813</v>
      </c>
      <c r="BB102" s="442">
        <v>4889</v>
      </c>
      <c r="BC102" s="442">
        <v>4949</v>
      </c>
      <c r="BD102" s="442">
        <v>4989</v>
      </c>
      <c r="BE102" s="442">
        <v>5013</v>
      </c>
      <c r="BF102" s="442">
        <v>5015</v>
      </c>
      <c r="BG102" s="442">
        <v>4994</v>
      </c>
      <c r="BH102" s="442">
        <v>4986</v>
      </c>
      <c r="BI102" s="442">
        <v>5025</v>
      </c>
      <c r="BJ102" s="442">
        <v>5021</v>
      </c>
      <c r="BK102" s="442">
        <v>5028</v>
      </c>
      <c r="BL102" s="442">
        <v>5047</v>
      </c>
      <c r="BM102" s="442">
        <v>4988</v>
      </c>
      <c r="BN102" s="442">
        <v>5198</v>
      </c>
      <c r="BO102" s="442">
        <v>5188</v>
      </c>
      <c r="BP102" s="442">
        <v>5331</v>
      </c>
      <c r="BQ102" s="442">
        <v>5313</v>
      </c>
      <c r="BR102" s="442">
        <v>5229</v>
      </c>
      <c r="BS102" s="442">
        <v>5241</v>
      </c>
      <c r="BT102" s="442">
        <v>5236</v>
      </c>
      <c r="BU102" s="442">
        <v>5191</v>
      </c>
      <c r="BV102" s="442">
        <v>5150</v>
      </c>
      <c r="BW102" s="442">
        <v>5258</v>
      </c>
      <c r="BX102" s="442">
        <v>5252</v>
      </c>
      <c r="BY102" s="442">
        <v>5257</v>
      </c>
      <c r="BZ102" s="442">
        <v>5319</v>
      </c>
      <c r="CA102" s="442">
        <v>5233</v>
      </c>
      <c r="CB102" s="442">
        <v>5274</v>
      </c>
      <c r="CC102" s="442">
        <v>5346</v>
      </c>
      <c r="CD102" s="442">
        <v>5388</v>
      </c>
      <c r="CE102" s="442">
        <v>5429</v>
      </c>
      <c r="CF102" s="442">
        <v>5410</v>
      </c>
      <c r="CG102" s="442">
        <v>5424</v>
      </c>
      <c r="CH102" s="442">
        <v>5447</v>
      </c>
      <c r="CI102" s="442">
        <v>5454</v>
      </c>
      <c r="CJ102" s="442">
        <v>5126</v>
      </c>
      <c r="CK102" s="442">
        <v>5223</v>
      </c>
      <c r="CL102" s="442">
        <v>5223</v>
      </c>
      <c r="CM102" s="442">
        <v>5160</v>
      </c>
      <c r="CN102" s="442">
        <v>5259</v>
      </c>
      <c r="CO102" s="442">
        <v>5205</v>
      </c>
      <c r="CP102" s="442">
        <v>5210</v>
      </c>
      <c r="CQ102" s="442">
        <v>5245</v>
      </c>
      <c r="CR102" s="442">
        <v>5179</v>
      </c>
      <c r="CS102" s="442">
        <v>5146</v>
      </c>
      <c r="CT102" s="442">
        <v>5139</v>
      </c>
      <c r="CU102" s="442">
        <v>5177</v>
      </c>
      <c r="CV102" s="442">
        <v>5166</v>
      </c>
      <c r="CW102" s="442">
        <v>5068</v>
      </c>
      <c r="CX102" s="442">
        <v>5182</v>
      </c>
      <c r="CY102" s="442">
        <v>5167</v>
      </c>
      <c r="CZ102" s="442">
        <v>5235</v>
      </c>
      <c r="DA102" s="442">
        <v>5186</v>
      </c>
      <c r="DB102" s="442">
        <v>5214</v>
      </c>
      <c r="DC102" s="442">
        <v>5208</v>
      </c>
      <c r="DD102" s="442">
        <v>5241</v>
      </c>
      <c r="DE102" s="442">
        <v>5131</v>
      </c>
      <c r="DF102" s="442">
        <v>5113</v>
      </c>
      <c r="DG102" s="442">
        <v>5252</v>
      </c>
      <c r="DH102" s="442">
        <v>5258</v>
      </c>
      <c r="DI102" s="442">
        <v>5100</v>
      </c>
      <c r="DJ102" s="442">
        <v>5938</v>
      </c>
      <c r="DK102" s="442">
        <v>5174</v>
      </c>
      <c r="DL102" s="442">
        <v>5154</v>
      </c>
      <c r="DM102" s="442">
        <v>5137</v>
      </c>
      <c r="DN102" s="442">
        <v>5121</v>
      </c>
      <c r="DO102" s="442">
        <v>5174</v>
      </c>
      <c r="DP102" s="442">
        <v>5332</v>
      </c>
      <c r="DQ102" s="442">
        <v>5202</v>
      </c>
      <c r="DR102" s="442">
        <v>5189</v>
      </c>
      <c r="DS102" s="442">
        <v>5426</v>
      </c>
      <c r="DT102" s="442">
        <v>5420</v>
      </c>
      <c r="DU102" s="442">
        <v>5334</v>
      </c>
      <c r="DV102" s="442">
        <v>5503</v>
      </c>
      <c r="DW102" s="442">
        <v>5365</v>
      </c>
      <c r="DX102" s="442">
        <v>5355</v>
      </c>
      <c r="DY102" s="442">
        <v>5446</v>
      </c>
      <c r="DZ102" s="442">
        <v>5470</v>
      </c>
      <c r="EA102" s="442">
        <v>5548</v>
      </c>
      <c r="EB102" s="442">
        <v>5553</v>
      </c>
      <c r="EC102" s="442">
        <v>5669</v>
      </c>
      <c r="ED102" s="442">
        <v>5612</v>
      </c>
      <c r="EE102" s="442">
        <v>5598</v>
      </c>
      <c r="EF102" s="442">
        <v>5864</v>
      </c>
      <c r="EG102" s="442">
        <v>5402</v>
      </c>
      <c r="EH102" s="442">
        <v>5435</v>
      </c>
      <c r="EI102" s="442">
        <v>5218</v>
      </c>
      <c r="EJ102" s="442">
        <v>5192</v>
      </c>
      <c r="EK102" s="442">
        <v>5214</v>
      </c>
      <c r="EL102" s="442">
        <v>5108</v>
      </c>
      <c r="EM102" s="442">
        <v>5112</v>
      </c>
      <c r="EN102" s="442">
        <v>5154</v>
      </c>
      <c r="EO102" s="442">
        <v>5110</v>
      </c>
      <c r="EP102" s="442">
        <v>5143</v>
      </c>
      <c r="EQ102" s="442">
        <v>5220</v>
      </c>
      <c r="ER102" s="442">
        <v>5182</v>
      </c>
      <c r="ES102" s="442">
        <v>5279</v>
      </c>
      <c r="ET102" s="442">
        <v>5231</v>
      </c>
      <c r="EU102" s="442">
        <v>5198</v>
      </c>
      <c r="EV102" s="442">
        <v>5344</v>
      </c>
      <c r="EW102" s="442">
        <v>5186</v>
      </c>
      <c r="EX102" s="442">
        <v>5200</v>
      </c>
      <c r="EY102" s="442">
        <v>5405</v>
      </c>
      <c r="EZ102" s="442">
        <v>5243</v>
      </c>
      <c r="FA102" s="442">
        <v>5124</v>
      </c>
      <c r="FB102" s="442">
        <v>5135</v>
      </c>
      <c r="FC102" s="442">
        <v>5309</v>
      </c>
      <c r="FD102" s="442">
        <v>5139</v>
      </c>
      <c r="FE102" s="442">
        <v>5157</v>
      </c>
      <c r="FF102" s="442">
        <v>5248</v>
      </c>
      <c r="FG102" s="442">
        <v>5205</v>
      </c>
      <c r="FH102" s="442">
        <v>5225</v>
      </c>
      <c r="FI102" s="442">
        <v>5137</v>
      </c>
      <c r="FJ102" s="442">
        <v>5209</v>
      </c>
      <c r="FK102" s="442">
        <v>5262</v>
      </c>
      <c r="FL102" s="442">
        <v>5177</v>
      </c>
      <c r="FM102" s="442">
        <v>5196</v>
      </c>
      <c r="FN102" s="442">
        <v>5056</v>
      </c>
      <c r="FO102" s="442">
        <v>5230</v>
      </c>
      <c r="FP102" s="442">
        <v>5207</v>
      </c>
      <c r="FQ102" s="442">
        <v>5041</v>
      </c>
      <c r="FR102" s="442">
        <v>5143</v>
      </c>
      <c r="FS102" s="442">
        <v>5045</v>
      </c>
      <c r="FT102" s="442">
        <v>5149</v>
      </c>
      <c r="FU102" s="442">
        <v>5075</v>
      </c>
      <c r="FV102" s="442">
        <v>5599</v>
      </c>
      <c r="FW102" s="442">
        <v>5077</v>
      </c>
      <c r="FX102" s="442">
        <v>5361</v>
      </c>
      <c r="FY102" s="442">
        <v>4965</v>
      </c>
      <c r="FZ102" s="442">
        <v>4899</v>
      </c>
      <c r="GA102" s="442">
        <v>5184</v>
      </c>
      <c r="GB102" s="442">
        <v>4695</v>
      </c>
      <c r="GC102" s="442">
        <v>4771</v>
      </c>
      <c r="GD102" s="442">
        <v>4848</v>
      </c>
      <c r="GE102" s="442">
        <v>4833</v>
      </c>
      <c r="GF102" s="442">
        <v>4906</v>
      </c>
      <c r="GG102" s="442">
        <v>5010</v>
      </c>
      <c r="GH102" s="442">
        <v>4406</v>
      </c>
      <c r="GI102" s="442">
        <v>4774</v>
      </c>
      <c r="GJ102" s="442">
        <v>4839</v>
      </c>
      <c r="GK102" s="431">
        <v>4669</v>
      </c>
    </row>
    <row r="103" spans="1:193">
      <c r="A103" s="231" t="s">
        <v>243</v>
      </c>
      <c r="B103" s="348">
        <v>642</v>
      </c>
      <c r="C103" s="348">
        <v>639</v>
      </c>
      <c r="D103" s="348">
        <v>637</v>
      </c>
      <c r="E103" s="348">
        <v>633</v>
      </c>
      <c r="F103" s="348">
        <v>633</v>
      </c>
      <c r="G103" s="348">
        <v>633</v>
      </c>
      <c r="H103" s="348">
        <v>619</v>
      </c>
      <c r="I103" s="348">
        <v>619</v>
      </c>
      <c r="J103" s="348">
        <v>618</v>
      </c>
      <c r="K103" s="348">
        <v>617</v>
      </c>
      <c r="L103" s="348">
        <v>620</v>
      </c>
      <c r="M103" s="348">
        <v>618</v>
      </c>
      <c r="N103" s="348">
        <v>621</v>
      </c>
      <c r="O103" s="348">
        <v>618</v>
      </c>
      <c r="P103" s="348">
        <v>625</v>
      </c>
      <c r="Q103" s="348">
        <v>625</v>
      </c>
      <c r="R103" s="348">
        <v>626</v>
      </c>
      <c r="S103" s="348">
        <v>627</v>
      </c>
      <c r="T103" s="348">
        <v>624</v>
      </c>
      <c r="U103" s="348">
        <v>617</v>
      </c>
      <c r="V103" s="348">
        <v>609</v>
      </c>
      <c r="W103" s="348">
        <v>589</v>
      </c>
      <c r="X103" s="348">
        <v>591</v>
      </c>
      <c r="Y103" s="348">
        <v>594</v>
      </c>
      <c r="Z103" s="348">
        <v>596</v>
      </c>
      <c r="AA103" s="348">
        <v>594</v>
      </c>
      <c r="AB103" s="348">
        <v>599</v>
      </c>
      <c r="AC103" s="348">
        <v>599</v>
      </c>
      <c r="AD103" s="348">
        <v>598</v>
      </c>
      <c r="AE103" s="348">
        <v>597</v>
      </c>
      <c r="AF103" s="348">
        <v>598</v>
      </c>
      <c r="AG103" s="348">
        <v>595</v>
      </c>
      <c r="AH103" s="348">
        <v>596</v>
      </c>
      <c r="AI103" s="348">
        <v>595</v>
      </c>
      <c r="AJ103" s="348">
        <v>590</v>
      </c>
      <c r="AK103" s="348">
        <v>591</v>
      </c>
      <c r="AL103" s="348">
        <v>589</v>
      </c>
      <c r="AM103" s="348">
        <v>588</v>
      </c>
      <c r="AN103" s="348">
        <v>587</v>
      </c>
      <c r="AO103" s="348">
        <v>587</v>
      </c>
      <c r="AP103" s="348">
        <v>581</v>
      </c>
      <c r="AQ103" s="348">
        <v>580</v>
      </c>
      <c r="AR103" s="348">
        <v>579</v>
      </c>
      <c r="AS103" s="348">
        <v>583</v>
      </c>
      <c r="AT103" s="348">
        <v>587</v>
      </c>
      <c r="AU103" s="348">
        <v>586</v>
      </c>
      <c r="AV103" s="348">
        <v>612</v>
      </c>
      <c r="AW103" s="348">
        <v>627</v>
      </c>
      <c r="AX103" s="348">
        <v>634</v>
      </c>
      <c r="AY103" s="348">
        <v>629</v>
      </c>
      <c r="AZ103" s="348">
        <v>630</v>
      </c>
      <c r="BA103" s="348">
        <v>631</v>
      </c>
      <c r="BB103" s="348">
        <v>640</v>
      </c>
      <c r="BC103" s="348">
        <v>640</v>
      </c>
      <c r="BD103" s="348">
        <v>643</v>
      </c>
      <c r="BE103" s="348">
        <v>652</v>
      </c>
      <c r="BF103" s="348">
        <v>659</v>
      </c>
      <c r="BG103" s="348">
        <v>665</v>
      </c>
      <c r="BH103" s="348">
        <v>681</v>
      </c>
      <c r="BI103" s="348">
        <v>699</v>
      </c>
      <c r="BJ103" s="348">
        <v>717</v>
      </c>
      <c r="BK103" s="348">
        <v>728</v>
      </c>
      <c r="BL103" s="348">
        <v>724</v>
      </c>
      <c r="BM103" s="348">
        <v>728</v>
      </c>
      <c r="BN103" s="348">
        <v>730</v>
      </c>
      <c r="BO103" s="348">
        <v>718</v>
      </c>
      <c r="BP103" s="348">
        <v>710</v>
      </c>
      <c r="BQ103" s="348">
        <v>711</v>
      </c>
      <c r="BR103" s="348">
        <v>715</v>
      </c>
      <c r="BS103" s="348">
        <v>714</v>
      </c>
      <c r="BT103" s="348">
        <v>718</v>
      </c>
      <c r="BU103" s="348">
        <v>712</v>
      </c>
      <c r="BV103" s="348">
        <v>724</v>
      </c>
      <c r="BW103" s="348">
        <v>713</v>
      </c>
      <c r="BX103" s="348">
        <v>697</v>
      </c>
      <c r="BY103" s="348">
        <v>669</v>
      </c>
      <c r="BZ103" s="348">
        <v>665</v>
      </c>
      <c r="CA103" s="348">
        <v>667</v>
      </c>
      <c r="CB103" s="348">
        <v>669</v>
      </c>
      <c r="CC103" s="348">
        <v>663</v>
      </c>
      <c r="CD103" s="348">
        <v>665</v>
      </c>
      <c r="CE103" s="348">
        <v>673</v>
      </c>
      <c r="CF103" s="441">
        <v>682</v>
      </c>
      <c r="CG103" s="441">
        <v>673</v>
      </c>
      <c r="CH103" s="441">
        <v>690</v>
      </c>
      <c r="CI103" s="441">
        <v>691</v>
      </c>
      <c r="CJ103" s="441">
        <v>719</v>
      </c>
      <c r="CK103" s="441">
        <v>724</v>
      </c>
      <c r="CL103" s="441">
        <v>727</v>
      </c>
      <c r="CM103" s="441">
        <v>727</v>
      </c>
      <c r="CN103" s="441">
        <v>724</v>
      </c>
      <c r="CO103" s="441">
        <v>717</v>
      </c>
      <c r="CP103" s="441">
        <v>735</v>
      </c>
      <c r="CQ103" s="441">
        <v>770</v>
      </c>
      <c r="CR103" s="441">
        <v>771</v>
      </c>
      <c r="CS103" s="441">
        <v>779</v>
      </c>
      <c r="CT103" s="441">
        <v>781</v>
      </c>
      <c r="CU103" s="441">
        <v>790</v>
      </c>
      <c r="CV103" s="441">
        <v>783</v>
      </c>
      <c r="CW103" s="441">
        <v>809</v>
      </c>
      <c r="CX103" s="441">
        <v>791</v>
      </c>
      <c r="CY103" s="441">
        <v>791</v>
      </c>
      <c r="CZ103" s="441">
        <v>767</v>
      </c>
      <c r="DA103" s="441">
        <v>763</v>
      </c>
      <c r="DB103" s="441">
        <v>757</v>
      </c>
      <c r="DC103" s="441">
        <v>769</v>
      </c>
      <c r="DD103" s="441">
        <v>772</v>
      </c>
      <c r="DE103" s="441">
        <v>783</v>
      </c>
      <c r="DF103" s="441">
        <v>791</v>
      </c>
      <c r="DG103" s="441">
        <v>786</v>
      </c>
      <c r="DH103" s="441">
        <v>777</v>
      </c>
      <c r="DI103" s="441">
        <v>767</v>
      </c>
      <c r="DJ103" s="441">
        <v>764</v>
      </c>
      <c r="DK103" s="441">
        <v>757</v>
      </c>
      <c r="DL103" s="441">
        <v>755</v>
      </c>
      <c r="DM103" s="441">
        <v>743</v>
      </c>
      <c r="DN103" s="441">
        <v>739</v>
      </c>
      <c r="DO103" s="441">
        <v>743</v>
      </c>
      <c r="DP103" s="441">
        <v>747</v>
      </c>
      <c r="DQ103" s="441">
        <v>746</v>
      </c>
      <c r="DR103" s="441">
        <v>740</v>
      </c>
      <c r="DS103" s="441">
        <v>740</v>
      </c>
      <c r="DT103" s="441">
        <v>736</v>
      </c>
      <c r="DU103" s="441">
        <v>736</v>
      </c>
      <c r="DV103" s="441">
        <v>732</v>
      </c>
      <c r="DW103" s="441">
        <v>735</v>
      </c>
      <c r="DX103" s="441">
        <v>578</v>
      </c>
      <c r="DY103" s="441">
        <v>582</v>
      </c>
      <c r="DZ103" s="441">
        <v>602</v>
      </c>
      <c r="EA103" s="441">
        <v>604</v>
      </c>
      <c r="EB103" s="441">
        <v>625</v>
      </c>
      <c r="EC103" s="441">
        <v>624</v>
      </c>
      <c r="ED103" s="441">
        <v>629</v>
      </c>
      <c r="EE103" s="441">
        <v>658</v>
      </c>
      <c r="EF103" s="441">
        <v>377</v>
      </c>
      <c r="EG103" s="441">
        <v>351</v>
      </c>
      <c r="EH103" s="441">
        <v>390</v>
      </c>
      <c r="EI103" s="441">
        <v>382</v>
      </c>
      <c r="EJ103" s="441">
        <v>364</v>
      </c>
      <c r="EK103" s="441">
        <v>378</v>
      </c>
      <c r="EL103" s="441">
        <v>381</v>
      </c>
      <c r="EM103" s="441">
        <v>373</v>
      </c>
      <c r="EN103" s="441">
        <v>384</v>
      </c>
      <c r="EO103" s="441">
        <v>385</v>
      </c>
      <c r="EP103" s="441">
        <v>374</v>
      </c>
      <c r="EQ103" s="441">
        <v>410</v>
      </c>
      <c r="ER103" s="441">
        <v>379</v>
      </c>
      <c r="ES103" s="441">
        <v>365</v>
      </c>
      <c r="ET103" s="441">
        <v>382</v>
      </c>
      <c r="EU103" s="441">
        <v>370</v>
      </c>
      <c r="EV103" s="441">
        <v>363</v>
      </c>
      <c r="EW103" s="441">
        <v>363</v>
      </c>
      <c r="EX103" s="441">
        <v>353</v>
      </c>
      <c r="EY103" s="441">
        <v>334</v>
      </c>
      <c r="EZ103" s="441">
        <v>363</v>
      </c>
      <c r="FA103" s="441">
        <v>601</v>
      </c>
      <c r="FB103" s="441">
        <v>565</v>
      </c>
      <c r="FC103" s="441">
        <v>603</v>
      </c>
      <c r="FD103" s="441">
        <v>592</v>
      </c>
      <c r="FE103" s="441">
        <v>225</v>
      </c>
      <c r="FF103" s="441">
        <v>234</v>
      </c>
      <c r="FG103" s="441">
        <v>228</v>
      </c>
      <c r="FH103" s="441">
        <v>237</v>
      </c>
      <c r="FI103" s="441">
        <v>229</v>
      </c>
      <c r="FJ103" s="441">
        <v>237</v>
      </c>
      <c r="FK103" s="441">
        <v>212</v>
      </c>
      <c r="FL103" s="441">
        <v>226</v>
      </c>
      <c r="FM103" s="441">
        <v>558</v>
      </c>
      <c r="FN103" s="441">
        <v>543</v>
      </c>
      <c r="FO103" s="441">
        <v>562</v>
      </c>
      <c r="FP103" s="441">
        <v>560</v>
      </c>
      <c r="FQ103" s="441">
        <v>540</v>
      </c>
      <c r="FR103" s="441">
        <v>562</v>
      </c>
      <c r="FS103" s="441">
        <v>613</v>
      </c>
      <c r="FT103" s="441">
        <v>567</v>
      </c>
      <c r="FU103" s="441">
        <v>579</v>
      </c>
      <c r="FV103" s="441">
        <v>581</v>
      </c>
      <c r="FW103" s="441">
        <v>586</v>
      </c>
      <c r="FX103" s="441">
        <v>577</v>
      </c>
      <c r="FY103" s="441">
        <v>604</v>
      </c>
      <c r="FZ103" s="441">
        <v>578</v>
      </c>
      <c r="GA103" s="441">
        <v>595</v>
      </c>
      <c r="GB103" s="441">
        <v>579</v>
      </c>
      <c r="GC103" s="441">
        <v>762</v>
      </c>
      <c r="GD103" s="441">
        <v>539</v>
      </c>
      <c r="GE103" s="441">
        <v>549</v>
      </c>
      <c r="GF103" s="441">
        <v>486</v>
      </c>
      <c r="GG103" s="441">
        <v>499</v>
      </c>
      <c r="GH103" s="441">
        <v>499</v>
      </c>
      <c r="GI103" s="441">
        <v>481</v>
      </c>
      <c r="GJ103" s="441">
        <v>481</v>
      </c>
      <c r="GK103" s="430">
        <v>469</v>
      </c>
    </row>
    <row r="104" spans="1:193">
      <c r="A104" s="231" t="s">
        <v>245</v>
      </c>
      <c r="B104" s="442">
        <v>441</v>
      </c>
      <c r="C104" s="442">
        <v>457</v>
      </c>
      <c r="D104" s="442">
        <v>459</v>
      </c>
      <c r="E104" s="442">
        <v>432</v>
      </c>
      <c r="F104" s="442">
        <v>466</v>
      </c>
      <c r="G104" s="442">
        <v>459</v>
      </c>
      <c r="H104" s="442">
        <v>441</v>
      </c>
      <c r="I104" s="442">
        <v>454</v>
      </c>
      <c r="J104" s="442">
        <v>492</v>
      </c>
      <c r="K104" s="442">
        <v>430</v>
      </c>
      <c r="L104" s="442">
        <v>485</v>
      </c>
      <c r="M104" s="442">
        <v>411</v>
      </c>
      <c r="N104" s="442">
        <v>468</v>
      </c>
      <c r="O104" s="442">
        <v>424</v>
      </c>
      <c r="P104" s="442">
        <v>412</v>
      </c>
      <c r="Q104" s="442">
        <v>199</v>
      </c>
      <c r="R104" s="442">
        <v>199</v>
      </c>
      <c r="S104" s="442">
        <v>190</v>
      </c>
      <c r="T104" s="442">
        <v>198</v>
      </c>
      <c r="U104" s="442">
        <v>187</v>
      </c>
      <c r="V104" s="442">
        <v>201</v>
      </c>
      <c r="W104" s="442">
        <v>208</v>
      </c>
      <c r="X104" s="442">
        <v>201</v>
      </c>
      <c r="Y104" s="442">
        <v>201</v>
      </c>
      <c r="Z104" s="442">
        <v>202</v>
      </c>
      <c r="AA104" s="442">
        <v>205</v>
      </c>
      <c r="AB104" s="442">
        <v>214</v>
      </c>
      <c r="AC104" s="442">
        <v>197</v>
      </c>
      <c r="AD104" s="442">
        <v>201</v>
      </c>
      <c r="AE104" s="442">
        <v>185</v>
      </c>
      <c r="AF104" s="442">
        <v>182</v>
      </c>
      <c r="AG104" s="442">
        <v>195</v>
      </c>
      <c r="AH104" s="442">
        <v>199</v>
      </c>
      <c r="AI104" s="442">
        <v>185</v>
      </c>
      <c r="AJ104" s="442">
        <v>190</v>
      </c>
      <c r="AK104" s="442">
        <v>183</v>
      </c>
      <c r="AL104" s="442">
        <v>191</v>
      </c>
      <c r="AM104" s="442">
        <v>174</v>
      </c>
      <c r="AN104" s="442">
        <v>196</v>
      </c>
      <c r="AO104" s="442">
        <v>191</v>
      </c>
      <c r="AP104" s="442">
        <v>194</v>
      </c>
      <c r="AQ104" s="442">
        <v>201</v>
      </c>
      <c r="AR104" s="442">
        <v>206</v>
      </c>
      <c r="AS104" s="442">
        <v>214</v>
      </c>
      <c r="AT104" s="442">
        <v>202</v>
      </c>
      <c r="AU104" s="442">
        <v>209</v>
      </c>
      <c r="AV104" s="442">
        <v>207</v>
      </c>
      <c r="AW104" s="442">
        <v>210</v>
      </c>
      <c r="AX104" s="442">
        <v>204</v>
      </c>
      <c r="AY104" s="442">
        <v>210</v>
      </c>
      <c r="AZ104" s="442">
        <v>207</v>
      </c>
      <c r="BA104" s="442">
        <v>203</v>
      </c>
      <c r="BB104" s="442">
        <v>206</v>
      </c>
      <c r="BC104" s="442">
        <v>211</v>
      </c>
      <c r="BD104" s="442">
        <v>203</v>
      </c>
      <c r="BE104" s="442">
        <v>212</v>
      </c>
      <c r="BF104" s="442">
        <v>218</v>
      </c>
      <c r="BG104" s="442">
        <v>228</v>
      </c>
      <c r="BH104" s="442">
        <v>223</v>
      </c>
      <c r="BI104" s="442">
        <v>232</v>
      </c>
      <c r="BJ104" s="442">
        <v>237</v>
      </c>
      <c r="BK104" s="442">
        <v>248</v>
      </c>
      <c r="BL104" s="442">
        <v>237</v>
      </c>
      <c r="BM104" s="442">
        <v>232</v>
      </c>
      <c r="BN104" s="442">
        <v>269</v>
      </c>
      <c r="BO104" s="442">
        <v>264</v>
      </c>
      <c r="BP104" s="442">
        <v>266</v>
      </c>
      <c r="BQ104" s="442">
        <v>264</v>
      </c>
      <c r="BR104" s="442">
        <v>267</v>
      </c>
      <c r="BS104" s="442">
        <v>266</v>
      </c>
      <c r="BT104" s="442">
        <v>282</v>
      </c>
      <c r="BU104" s="442">
        <v>273</v>
      </c>
      <c r="BV104" s="442">
        <v>276</v>
      </c>
      <c r="BW104" s="442">
        <v>268</v>
      </c>
      <c r="BX104" s="442">
        <v>279</v>
      </c>
      <c r="BY104" s="442">
        <v>278</v>
      </c>
      <c r="BZ104" s="442">
        <v>287</v>
      </c>
      <c r="CA104" s="442">
        <v>289</v>
      </c>
      <c r="CB104" s="442">
        <v>310</v>
      </c>
      <c r="CC104" s="442">
        <v>310</v>
      </c>
      <c r="CD104" s="442">
        <v>313</v>
      </c>
      <c r="CE104" s="442">
        <v>329</v>
      </c>
      <c r="CF104" s="442">
        <v>328</v>
      </c>
      <c r="CG104" s="442">
        <v>316</v>
      </c>
      <c r="CH104" s="442">
        <v>313</v>
      </c>
      <c r="CI104" s="442">
        <v>333</v>
      </c>
      <c r="CJ104" s="442">
        <v>341</v>
      </c>
      <c r="CK104" s="442">
        <v>315</v>
      </c>
      <c r="CL104" s="442">
        <v>320</v>
      </c>
      <c r="CM104" s="442">
        <v>321</v>
      </c>
      <c r="CN104" s="442">
        <v>313</v>
      </c>
      <c r="CO104" s="442">
        <v>311</v>
      </c>
      <c r="CP104" s="442">
        <v>311</v>
      </c>
      <c r="CQ104" s="442">
        <v>315</v>
      </c>
      <c r="CR104" s="442">
        <v>326</v>
      </c>
      <c r="CS104" s="442">
        <v>322</v>
      </c>
      <c r="CT104" s="442">
        <v>320</v>
      </c>
      <c r="CU104" s="442">
        <v>321</v>
      </c>
      <c r="CV104" s="442">
        <v>310</v>
      </c>
      <c r="CW104" s="442">
        <v>297</v>
      </c>
      <c r="CX104" s="442">
        <v>310</v>
      </c>
      <c r="CY104" s="442">
        <v>312</v>
      </c>
      <c r="CZ104" s="442">
        <v>311</v>
      </c>
      <c r="DA104" s="442">
        <v>306</v>
      </c>
      <c r="DB104" s="442">
        <v>303</v>
      </c>
      <c r="DC104" s="442">
        <v>295</v>
      </c>
      <c r="DD104" s="442">
        <v>291</v>
      </c>
      <c r="DE104" s="442">
        <v>285</v>
      </c>
      <c r="DF104" s="442">
        <v>319</v>
      </c>
      <c r="DG104" s="442">
        <v>324</v>
      </c>
      <c r="DH104" s="442">
        <v>334</v>
      </c>
      <c r="DI104" s="442">
        <v>314</v>
      </c>
      <c r="DJ104" s="442">
        <v>327</v>
      </c>
      <c r="DK104" s="442">
        <v>327</v>
      </c>
      <c r="DL104" s="442">
        <v>339</v>
      </c>
      <c r="DM104" s="442">
        <v>356</v>
      </c>
      <c r="DN104" s="442">
        <v>329</v>
      </c>
      <c r="DO104" s="442">
        <v>360</v>
      </c>
      <c r="DP104" s="442">
        <v>353</v>
      </c>
      <c r="DQ104" s="442">
        <v>333</v>
      </c>
      <c r="DR104" s="442">
        <v>342</v>
      </c>
      <c r="DS104" s="442">
        <v>367</v>
      </c>
      <c r="DT104" s="442">
        <v>364</v>
      </c>
      <c r="DU104" s="442">
        <v>360</v>
      </c>
      <c r="DV104" s="442">
        <v>376</v>
      </c>
      <c r="DW104" s="442">
        <v>411</v>
      </c>
      <c r="DX104" s="442">
        <v>403</v>
      </c>
      <c r="DY104" s="442">
        <v>433</v>
      </c>
      <c r="DZ104" s="442">
        <v>424</v>
      </c>
      <c r="EA104" s="442">
        <v>447</v>
      </c>
      <c r="EB104" s="442">
        <v>466</v>
      </c>
      <c r="EC104" s="442">
        <v>466</v>
      </c>
      <c r="ED104" s="442">
        <v>474</v>
      </c>
      <c r="EE104" s="442">
        <v>471</v>
      </c>
      <c r="EF104" s="442">
        <v>469</v>
      </c>
      <c r="EG104" s="442">
        <v>474</v>
      </c>
      <c r="EH104" s="442">
        <v>469</v>
      </c>
      <c r="EI104" s="442">
        <v>471</v>
      </c>
      <c r="EJ104" s="442">
        <v>464</v>
      </c>
      <c r="EK104" s="442">
        <v>473</v>
      </c>
      <c r="EL104" s="442">
        <v>475</v>
      </c>
      <c r="EM104" s="442">
        <v>513</v>
      </c>
      <c r="EN104" s="442">
        <v>482</v>
      </c>
      <c r="EO104" s="442">
        <v>473</v>
      </c>
      <c r="EP104" s="442">
        <v>474</v>
      </c>
      <c r="EQ104" s="442">
        <v>466</v>
      </c>
      <c r="ER104" s="442">
        <v>474</v>
      </c>
      <c r="ES104" s="442">
        <v>482</v>
      </c>
      <c r="ET104" s="442">
        <v>485</v>
      </c>
      <c r="EU104" s="442">
        <v>471</v>
      </c>
      <c r="EV104" s="442">
        <v>483</v>
      </c>
      <c r="EW104" s="442">
        <v>480</v>
      </c>
      <c r="EX104" s="442">
        <v>481</v>
      </c>
      <c r="EY104" s="442">
        <v>505</v>
      </c>
      <c r="EZ104" s="442">
        <v>501</v>
      </c>
      <c r="FA104" s="442">
        <v>462</v>
      </c>
      <c r="FB104" s="442">
        <v>512</v>
      </c>
      <c r="FC104" s="442">
        <v>496</v>
      </c>
      <c r="FD104" s="442">
        <v>498</v>
      </c>
      <c r="FE104" s="442">
        <v>524</v>
      </c>
      <c r="FF104" s="442">
        <v>553</v>
      </c>
      <c r="FG104" s="442">
        <v>553</v>
      </c>
      <c r="FH104" s="442">
        <v>596</v>
      </c>
      <c r="FI104" s="442">
        <v>590</v>
      </c>
      <c r="FJ104" s="442">
        <v>623</v>
      </c>
      <c r="FK104" s="442">
        <v>607</v>
      </c>
      <c r="FL104" s="442">
        <v>599</v>
      </c>
      <c r="FM104" s="442">
        <v>676</v>
      </c>
      <c r="FN104" s="442">
        <v>563</v>
      </c>
      <c r="FO104" s="442">
        <v>574</v>
      </c>
      <c r="FP104" s="442">
        <v>576</v>
      </c>
      <c r="FQ104" s="442">
        <v>599</v>
      </c>
      <c r="FR104" s="442">
        <v>590</v>
      </c>
      <c r="FS104" s="442">
        <v>554</v>
      </c>
      <c r="FT104" s="442">
        <v>580</v>
      </c>
      <c r="FU104" s="442">
        <v>599</v>
      </c>
      <c r="FV104" s="442">
        <v>570</v>
      </c>
      <c r="FW104" s="442">
        <v>571</v>
      </c>
      <c r="FX104" s="442">
        <v>663</v>
      </c>
      <c r="FY104" s="442">
        <v>590</v>
      </c>
      <c r="FZ104" s="442">
        <v>571</v>
      </c>
      <c r="GA104" s="442">
        <v>607</v>
      </c>
      <c r="GB104" s="442">
        <v>605</v>
      </c>
      <c r="GC104" s="442">
        <v>596</v>
      </c>
      <c r="GD104" s="442">
        <v>594</v>
      </c>
      <c r="GE104" s="442">
        <v>583</v>
      </c>
      <c r="GF104" s="442">
        <v>562</v>
      </c>
      <c r="GG104" s="442">
        <v>665</v>
      </c>
      <c r="GH104" s="442">
        <v>639</v>
      </c>
      <c r="GI104" s="442">
        <v>674</v>
      </c>
      <c r="GJ104" s="442">
        <v>672</v>
      </c>
      <c r="GK104" s="431">
        <v>646</v>
      </c>
    </row>
    <row r="105" spans="1:193">
      <c r="A105" s="231" t="s">
        <v>242</v>
      </c>
      <c r="B105" s="348">
        <v>554</v>
      </c>
      <c r="C105" s="348">
        <v>553</v>
      </c>
      <c r="D105" s="348">
        <v>556</v>
      </c>
      <c r="E105" s="348">
        <v>557</v>
      </c>
      <c r="F105" s="348">
        <v>554</v>
      </c>
      <c r="G105" s="348">
        <v>553</v>
      </c>
      <c r="H105" s="348">
        <v>553</v>
      </c>
      <c r="I105" s="348">
        <v>578</v>
      </c>
      <c r="J105" s="348">
        <v>557</v>
      </c>
      <c r="K105" s="348">
        <v>629</v>
      </c>
      <c r="L105" s="348">
        <v>575</v>
      </c>
      <c r="M105" s="348">
        <v>577</v>
      </c>
      <c r="N105" s="348">
        <v>580</v>
      </c>
      <c r="O105" s="348">
        <v>584</v>
      </c>
      <c r="P105" s="348">
        <v>620</v>
      </c>
      <c r="Q105" s="348">
        <v>640</v>
      </c>
      <c r="R105" s="348">
        <v>652</v>
      </c>
      <c r="S105" s="348">
        <v>598</v>
      </c>
      <c r="T105" s="348">
        <v>550</v>
      </c>
      <c r="U105" s="348">
        <v>558</v>
      </c>
      <c r="V105" s="348">
        <v>636</v>
      </c>
      <c r="W105" s="348">
        <v>624</v>
      </c>
      <c r="X105" s="348">
        <v>642</v>
      </c>
      <c r="Y105" s="348">
        <v>646</v>
      </c>
      <c r="Z105" s="348">
        <v>641</v>
      </c>
      <c r="AA105" s="348">
        <v>636</v>
      </c>
      <c r="AB105" s="348">
        <v>608</v>
      </c>
      <c r="AC105" s="348">
        <v>605</v>
      </c>
      <c r="AD105" s="348">
        <v>744</v>
      </c>
      <c r="AE105" s="348">
        <v>567</v>
      </c>
      <c r="AF105" s="348">
        <v>540</v>
      </c>
      <c r="AG105" s="348">
        <v>545</v>
      </c>
      <c r="AH105" s="348">
        <v>566</v>
      </c>
      <c r="AI105" s="348">
        <v>602</v>
      </c>
      <c r="AJ105" s="348">
        <v>614</v>
      </c>
      <c r="AK105" s="348">
        <v>641</v>
      </c>
      <c r="AL105" s="348">
        <v>622</v>
      </c>
      <c r="AM105" s="348">
        <v>646</v>
      </c>
      <c r="AN105" s="348">
        <v>654</v>
      </c>
      <c r="AO105" s="348">
        <v>649</v>
      </c>
      <c r="AP105" s="348">
        <v>650</v>
      </c>
      <c r="AQ105" s="348">
        <v>850</v>
      </c>
      <c r="AR105" s="348">
        <v>867</v>
      </c>
      <c r="AS105" s="348">
        <v>886</v>
      </c>
      <c r="AT105" s="348">
        <v>879</v>
      </c>
      <c r="AU105" s="348">
        <v>685</v>
      </c>
      <c r="AV105" s="348">
        <v>698</v>
      </c>
      <c r="AW105" s="348">
        <v>691</v>
      </c>
      <c r="AX105" s="348">
        <v>736</v>
      </c>
      <c r="AY105" s="348">
        <v>775</v>
      </c>
      <c r="AZ105" s="348">
        <v>800</v>
      </c>
      <c r="BA105" s="348">
        <v>840</v>
      </c>
      <c r="BB105" s="348">
        <v>897</v>
      </c>
      <c r="BC105" s="348">
        <v>901</v>
      </c>
      <c r="BD105" s="348">
        <v>881</v>
      </c>
      <c r="BE105" s="348">
        <v>771</v>
      </c>
      <c r="BF105" s="348">
        <v>867</v>
      </c>
      <c r="BG105" s="348">
        <v>811</v>
      </c>
      <c r="BH105" s="348">
        <v>848</v>
      </c>
      <c r="BI105" s="348">
        <v>838</v>
      </c>
      <c r="BJ105" s="348">
        <v>836</v>
      </c>
      <c r="BK105" s="348">
        <v>822</v>
      </c>
      <c r="BL105" s="348">
        <v>854</v>
      </c>
      <c r="BM105" s="348">
        <v>816</v>
      </c>
      <c r="BN105" s="348">
        <v>863</v>
      </c>
      <c r="BO105" s="348">
        <v>841</v>
      </c>
      <c r="BP105" s="348">
        <v>869</v>
      </c>
      <c r="BQ105" s="348">
        <v>880</v>
      </c>
      <c r="BR105" s="348">
        <v>839</v>
      </c>
      <c r="BS105" s="348">
        <v>885</v>
      </c>
      <c r="BT105" s="348">
        <v>928</v>
      </c>
      <c r="BU105" s="348">
        <v>815</v>
      </c>
      <c r="BV105" s="348">
        <v>788</v>
      </c>
      <c r="BW105" s="348">
        <v>788</v>
      </c>
      <c r="BX105" s="348">
        <v>898</v>
      </c>
      <c r="BY105" s="348">
        <v>913</v>
      </c>
      <c r="BZ105" s="348">
        <v>898</v>
      </c>
      <c r="CA105" s="348">
        <v>797</v>
      </c>
      <c r="CB105" s="348">
        <v>974</v>
      </c>
      <c r="CC105" s="348">
        <v>952</v>
      </c>
      <c r="CD105" s="348">
        <v>978</v>
      </c>
      <c r="CE105" s="348">
        <v>934</v>
      </c>
      <c r="CF105" s="441">
        <v>930</v>
      </c>
      <c r="CG105" s="441">
        <v>1057</v>
      </c>
      <c r="CH105" s="441">
        <v>1000</v>
      </c>
      <c r="CI105" s="441">
        <v>973</v>
      </c>
      <c r="CJ105" s="441">
        <v>944</v>
      </c>
      <c r="CK105" s="441">
        <v>947</v>
      </c>
      <c r="CL105" s="441">
        <v>947</v>
      </c>
      <c r="CM105" s="441">
        <v>978</v>
      </c>
      <c r="CN105" s="441">
        <v>982</v>
      </c>
      <c r="CO105" s="441">
        <v>951</v>
      </c>
      <c r="CP105" s="441">
        <v>963</v>
      </c>
      <c r="CQ105" s="441">
        <v>956</v>
      </c>
      <c r="CR105" s="441">
        <v>950</v>
      </c>
      <c r="CS105" s="441">
        <v>926</v>
      </c>
      <c r="CT105" s="441">
        <v>899</v>
      </c>
      <c r="CU105" s="441">
        <v>776</v>
      </c>
      <c r="CV105" s="441">
        <v>742</v>
      </c>
      <c r="CW105" s="441">
        <v>743</v>
      </c>
      <c r="CX105" s="441">
        <v>768</v>
      </c>
      <c r="CY105" s="441">
        <v>753</v>
      </c>
      <c r="CZ105" s="441">
        <v>758</v>
      </c>
      <c r="DA105" s="441">
        <v>773</v>
      </c>
      <c r="DB105" s="441">
        <v>742</v>
      </c>
      <c r="DC105" s="441">
        <v>746</v>
      </c>
      <c r="DD105" s="441">
        <v>749</v>
      </c>
      <c r="DE105" s="441">
        <v>696</v>
      </c>
      <c r="DF105" s="441">
        <v>687</v>
      </c>
      <c r="DG105" s="441">
        <v>692</v>
      </c>
      <c r="DH105" s="441">
        <v>698</v>
      </c>
      <c r="DI105" s="441">
        <v>677</v>
      </c>
      <c r="DJ105" s="441">
        <v>700</v>
      </c>
      <c r="DK105" s="441">
        <v>702</v>
      </c>
      <c r="DL105" s="441">
        <v>652</v>
      </c>
      <c r="DM105" s="441">
        <v>654</v>
      </c>
      <c r="DN105" s="441">
        <v>661</v>
      </c>
      <c r="DO105" s="441">
        <v>697</v>
      </c>
      <c r="DP105" s="441">
        <v>708</v>
      </c>
      <c r="DQ105" s="441">
        <v>714</v>
      </c>
      <c r="DR105" s="441">
        <v>660</v>
      </c>
      <c r="DS105" s="441">
        <v>671</v>
      </c>
      <c r="DT105" s="441">
        <v>665</v>
      </c>
      <c r="DU105" s="441">
        <v>675</v>
      </c>
      <c r="DV105" s="441">
        <v>656</v>
      </c>
      <c r="DW105" s="441">
        <v>650</v>
      </c>
      <c r="DX105" s="441">
        <v>658</v>
      </c>
      <c r="DY105" s="441">
        <v>679</v>
      </c>
      <c r="DZ105" s="441">
        <v>680</v>
      </c>
      <c r="EA105" s="441">
        <v>703</v>
      </c>
      <c r="EB105" s="441">
        <v>716</v>
      </c>
      <c r="EC105" s="441">
        <v>710</v>
      </c>
      <c r="ED105" s="441">
        <v>716</v>
      </c>
      <c r="EE105" s="441">
        <v>735</v>
      </c>
      <c r="EF105" s="441">
        <v>722</v>
      </c>
      <c r="EG105" s="441">
        <v>732</v>
      </c>
      <c r="EH105" s="441">
        <v>740</v>
      </c>
      <c r="EI105" s="441">
        <v>719</v>
      </c>
      <c r="EJ105" s="441">
        <v>741</v>
      </c>
      <c r="EK105" s="441">
        <v>732</v>
      </c>
      <c r="EL105" s="441">
        <v>738</v>
      </c>
      <c r="EM105" s="441">
        <v>769</v>
      </c>
      <c r="EN105" s="441">
        <v>769</v>
      </c>
      <c r="EO105" s="441">
        <v>762</v>
      </c>
      <c r="EP105" s="441">
        <v>776</v>
      </c>
      <c r="EQ105" s="441">
        <v>803</v>
      </c>
      <c r="ER105" s="441">
        <v>801</v>
      </c>
      <c r="ES105" s="441">
        <v>809</v>
      </c>
      <c r="ET105" s="441">
        <v>785</v>
      </c>
      <c r="EU105" s="441">
        <v>781</v>
      </c>
      <c r="EV105" s="441">
        <v>752</v>
      </c>
      <c r="EW105" s="441">
        <v>735</v>
      </c>
      <c r="EX105" s="441">
        <v>680</v>
      </c>
      <c r="EY105" s="441">
        <v>689</v>
      </c>
      <c r="EZ105" s="441">
        <v>696</v>
      </c>
      <c r="FA105" s="441">
        <v>699</v>
      </c>
      <c r="FB105" s="441">
        <v>683</v>
      </c>
      <c r="FC105" s="441">
        <v>675</v>
      </c>
      <c r="FD105" s="441">
        <v>693</v>
      </c>
      <c r="FE105" s="441">
        <v>646</v>
      </c>
      <c r="FF105" s="441">
        <v>696</v>
      </c>
      <c r="FG105" s="441">
        <v>566</v>
      </c>
      <c r="FH105" s="441">
        <v>642</v>
      </c>
      <c r="FI105" s="441">
        <v>658</v>
      </c>
      <c r="FJ105" s="441">
        <v>789</v>
      </c>
      <c r="FK105" s="441">
        <v>777</v>
      </c>
      <c r="FL105" s="441">
        <v>801</v>
      </c>
      <c r="FM105" s="441">
        <v>800</v>
      </c>
      <c r="FN105" s="441">
        <v>677</v>
      </c>
      <c r="FO105" s="441">
        <v>678</v>
      </c>
      <c r="FP105" s="441">
        <v>762</v>
      </c>
      <c r="FQ105" s="441">
        <v>761</v>
      </c>
      <c r="FR105" s="441">
        <v>639</v>
      </c>
      <c r="FS105" s="441">
        <v>633</v>
      </c>
      <c r="FT105" s="441">
        <v>626</v>
      </c>
      <c r="FU105" s="441">
        <v>606</v>
      </c>
      <c r="FV105" s="441">
        <v>589</v>
      </c>
      <c r="FW105" s="441">
        <v>490</v>
      </c>
      <c r="FX105" s="441">
        <v>535</v>
      </c>
      <c r="FY105" s="441">
        <v>488</v>
      </c>
      <c r="FZ105" s="441">
        <v>461</v>
      </c>
      <c r="GA105" s="441">
        <v>477</v>
      </c>
      <c r="GB105" s="441">
        <v>482</v>
      </c>
      <c r="GC105" s="441">
        <v>480</v>
      </c>
      <c r="GD105" s="441">
        <v>501</v>
      </c>
      <c r="GE105" s="441">
        <v>461</v>
      </c>
      <c r="GF105" s="441">
        <v>425</v>
      </c>
      <c r="GG105" s="441">
        <v>397</v>
      </c>
      <c r="GH105" s="441">
        <v>381</v>
      </c>
      <c r="GI105" s="441">
        <v>380</v>
      </c>
      <c r="GJ105" s="441">
        <v>370</v>
      </c>
      <c r="GK105" s="430">
        <v>366</v>
      </c>
    </row>
    <row r="106" spans="1:193">
      <c r="A106" s="231" t="s">
        <v>15</v>
      </c>
      <c r="B106" s="442">
        <v>3803</v>
      </c>
      <c r="C106" s="442">
        <v>3920</v>
      </c>
      <c r="D106" s="442">
        <v>3950</v>
      </c>
      <c r="E106" s="442">
        <v>3963</v>
      </c>
      <c r="F106" s="442">
        <v>4175</v>
      </c>
      <c r="G106" s="442">
        <v>3880</v>
      </c>
      <c r="H106" s="442">
        <v>4286</v>
      </c>
      <c r="I106" s="442">
        <v>3906</v>
      </c>
      <c r="J106" s="442">
        <v>3969</v>
      </c>
      <c r="K106" s="442">
        <v>4063</v>
      </c>
      <c r="L106" s="442">
        <v>4038</v>
      </c>
      <c r="M106" s="442">
        <v>3724</v>
      </c>
      <c r="N106" s="442">
        <v>3814</v>
      </c>
      <c r="O106" s="442">
        <v>3494</v>
      </c>
      <c r="P106" s="442">
        <v>3810</v>
      </c>
      <c r="Q106" s="442">
        <v>3772</v>
      </c>
      <c r="R106" s="442">
        <v>3831</v>
      </c>
      <c r="S106" s="442">
        <v>3893</v>
      </c>
      <c r="T106" s="442">
        <v>4201</v>
      </c>
      <c r="U106" s="442">
        <v>3678</v>
      </c>
      <c r="V106" s="442">
        <v>3865</v>
      </c>
      <c r="W106" s="442">
        <v>3943</v>
      </c>
      <c r="X106" s="442">
        <v>3822</v>
      </c>
      <c r="Y106" s="442">
        <v>3790</v>
      </c>
      <c r="Z106" s="442">
        <v>4040</v>
      </c>
      <c r="AA106" s="442">
        <v>4073</v>
      </c>
      <c r="AB106" s="442">
        <v>3984</v>
      </c>
      <c r="AC106" s="442">
        <v>4060</v>
      </c>
      <c r="AD106" s="442">
        <v>4067</v>
      </c>
      <c r="AE106" s="442">
        <v>4214</v>
      </c>
      <c r="AF106" s="442">
        <v>4258</v>
      </c>
      <c r="AG106" s="442">
        <v>4308</v>
      </c>
      <c r="AH106" s="442">
        <v>4326</v>
      </c>
      <c r="AI106" s="442">
        <v>4373</v>
      </c>
      <c r="AJ106" s="442">
        <v>4283</v>
      </c>
      <c r="AK106" s="442">
        <v>4264</v>
      </c>
      <c r="AL106" s="442">
        <v>4221</v>
      </c>
      <c r="AM106" s="442">
        <v>4267</v>
      </c>
      <c r="AN106" s="442">
        <v>4251</v>
      </c>
      <c r="AO106" s="442">
        <v>4144</v>
      </c>
      <c r="AP106" s="442">
        <v>4197</v>
      </c>
      <c r="AQ106" s="442">
        <v>4149</v>
      </c>
      <c r="AR106" s="442">
        <v>4200</v>
      </c>
      <c r="AS106" s="442">
        <v>4173</v>
      </c>
      <c r="AT106" s="442">
        <v>4155</v>
      </c>
      <c r="AU106" s="442">
        <v>4084</v>
      </c>
      <c r="AV106" s="442">
        <v>4220</v>
      </c>
      <c r="AW106" s="442">
        <v>4126</v>
      </c>
      <c r="AX106" s="442">
        <v>4107</v>
      </c>
      <c r="AY106" s="442">
        <v>4161</v>
      </c>
      <c r="AZ106" s="442">
        <v>4194</v>
      </c>
      <c r="BA106" s="442">
        <v>4109</v>
      </c>
      <c r="BB106" s="442">
        <v>4275</v>
      </c>
      <c r="BC106" s="442">
        <v>4228</v>
      </c>
      <c r="BD106" s="442">
        <v>4431</v>
      </c>
      <c r="BE106" s="442">
        <v>4169</v>
      </c>
      <c r="BF106" s="442">
        <v>4093</v>
      </c>
      <c r="BG106" s="442">
        <v>4147</v>
      </c>
      <c r="BH106" s="442">
        <v>4149</v>
      </c>
      <c r="BI106" s="442">
        <v>4100</v>
      </c>
      <c r="BJ106" s="442">
        <v>4117</v>
      </c>
      <c r="BK106" s="442">
        <v>4363</v>
      </c>
      <c r="BL106" s="442">
        <v>4233</v>
      </c>
      <c r="BM106" s="442">
        <v>4187</v>
      </c>
      <c r="BN106" s="442">
        <v>4343</v>
      </c>
      <c r="BO106" s="442">
        <v>4534</v>
      </c>
      <c r="BP106" s="442">
        <v>4460</v>
      </c>
      <c r="BQ106" s="442">
        <v>4985</v>
      </c>
      <c r="BR106" s="442">
        <v>4800</v>
      </c>
      <c r="BS106" s="442">
        <v>4887</v>
      </c>
      <c r="BT106" s="442">
        <v>4900</v>
      </c>
      <c r="BU106" s="442">
        <v>4549</v>
      </c>
      <c r="BV106" s="442">
        <v>4959</v>
      </c>
      <c r="BW106" s="442">
        <v>4742</v>
      </c>
      <c r="BX106" s="442">
        <v>4762</v>
      </c>
      <c r="BY106" s="442">
        <v>4758</v>
      </c>
      <c r="BZ106" s="442">
        <v>4842</v>
      </c>
      <c r="CA106" s="442">
        <v>4852</v>
      </c>
      <c r="CB106" s="442">
        <v>4889</v>
      </c>
      <c r="CC106" s="442">
        <v>4923</v>
      </c>
      <c r="CD106" s="442">
        <v>4851</v>
      </c>
      <c r="CE106" s="442">
        <v>4970</v>
      </c>
      <c r="CF106" s="442">
        <v>4974</v>
      </c>
      <c r="CG106" s="442">
        <v>4973</v>
      </c>
      <c r="CH106" s="442">
        <v>5030</v>
      </c>
      <c r="CI106" s="442">
        <v>5147</v>
      </c>
      <c r="CJ106" s="442">
        <v>4814</v>
      </c>
      <c r="CK106" s="442">
        <v>5007</v>
      </c>
      <c r="CL106" s="442">
        <v>4968</v>
      </c>
      <c r="CM106" s="442">
        <v>5125</v>
      </c>
      <c r="CN106" s="442">
        <v>5056</v>
      </c>
      <c r="CO106" s="442">
        <v>4957</v>
      </c>
      <c r="CP106" s="442">
        <v>4803</v>
      </c>
      <c r="CQ106" s="442">
        <v>4876</v>
      </c>
      <c r="CR106" s="442">
        <v>4930</v>
      </c>
      <c r="CS106" s="442">
        <v>4989</v>
      </c>
      <c r="CT106" s="442">
        <v>5242</v>
      </c>
      <c r="CU106" s="442">
        <v>5145</v>
      </c>
      <c r="CV106" s="442">
        <v>5542</v>
      </c>
      <c r="CW106" s="442">
        <v>5600</v>
      </c>
      <c r="CX106" s="442">
        <v>5694</v>
      </c>
      <c r="CY106" s="442">
        <v>5783</v>
      </c>
      <c r="CZ106" s="442">
        <v>6105</v>
      </c>
      <c r="DA106" s="442">
        <v>5990</v>
      </c>
      <c r="DB106" s="442">
        <v>5991</v>
      </c>
      <c r="DC106" s="442">
        <v>6032</v>
      </c>
      <c r="DD106" s="442">
        <v>5852</v>
      </c>
      <c r="DE106" s="442">
        <v>5880</v>
      </c>
      <c r="DF106" s="442">
        <v>6035</v>
      </c>
      <c r="DG106" s="442">
        <v>6329</v>
      </c>
      <c r="DH106" s="442">
        <v>6240</v>
      </c>
      <c r="DI106" s="442">
        <v>6184</v>
      </c>
      <c r="DJ106" s="442">
        <v>6163</v>
      </c>
      <c r="DK106" s="442">
        <v>6511</v>
      </c>
      <c r="DL106" s="442">
        <v>6839</v>
      </c>
      <c r="DM106" s="442">
        <v>6627</v>
      </c>
      <c r="DN106" s="442">
        <v>6665</v>
      </c>
      <c r="DO106" s="442">
        <v>6936</v>
      </c>
      <c r="DP106" s="442">
        <v>6916</v>
      </c>
      <c r="DQ106" s="442">
        <v>7178</v>
      </c>
      <c r="DR106" s="442">
        <v>7169</v>
      </c>
      <c r="DS106" s="442">
        <v>7312</v>
      </c>
      <c r="DT106" s="442">
        <v>7283</v>
      </c>
      <c r="DU106" s="442">
        <v>7294</v>
      </c>
      <c r="DV106" s="442">
        <v>7448</v>
      </c>
      <c r="DW106" s="442">
        <v>7428</v>
      </c>
      <c r="DX106" s="442">
        <v>7798</v>
      </c>
      <c r="DY106" s="442">
        <v>8011</v>
      </c>
      <c r="DZ106" s="442">
        <v>8035</v>
      </c>
      <c r="EA106" s="442">
        <v>7915</v>
      </c>
      <c r="EB106" s="442">
        <v>8403</v>
      </c>
      <c r="EC106" s="442">
        <v>8362</v>
      </c>
      <c r="ED106" s="442">
        <v>8265</v>
      </c>
      <c r="EE106" s="442">
        <v>8610</v>
      </c>
      <c r="EF106" s="442">
        <v>8411</v>
      </c>
      <c r="EG106" s="442">
        <v>8635</v>
      </c>
      <c r="EH106" s="442">
        <v>8511</v>
      </c>
      <c r="EI106" s="442">
        <v>8591</v>
      </c>
      <c r="EJ106" s="442">
        <v>8628</v>
      </c>
      <c r="EK106" s="442">
        <v>8615</v>
      </c>
      <c r="EL106" s="442">
        <v>8612</v>
      </c>
      <c r="EM106" s="442">
        <v>8819</v>
      </c>
      <c r="EN106" s="442">
        <v>8950</v>
      </c>
      <c r="EO106" s="442">
        <v>8488</v>
      </c>
      <c r="EP106" s="442">
        <v>8931</v>
      </c>
      <c r="EQ106" s="442">
        <v>8768</v>
      </c>
      <c r="ER106" s="442">
        <v>8807</v>
      </c>
      <c r="ES106" s="442">
        <v>8836</v>
      </c>
      <c r="ET106" s="442">
        <v>8556</v>
      </c>
      <c r="EU106" s="442">
        <v>8258</v>
      </c>
      <c r="EV106" s="442">
        <v>8193</v>
      </c>
      <c r="EW106" s="442">
        <v>7772</v>
      </c>
      <c r="EX106" s="442">
        <v>7617</v>
      </c>
      <c r="EY106" s="442">
        <v>7706</v>
      </c>
      <c r="EZ106" s="442">
        <v>8244</v>
      </c>
      <c r="FA106" s="442">
        <v>7472</v>
      </c>
      <c r="FB106" s="442">
        <v>7245</v>
      </c>
      <c r="FC106" s="442">
        <v>7234</v>
      </c>
      <c r="FD106" s="442">
        <v>7154</v>
      </c>
      <c r="FE106" s="442">
        <v>7135</v>
      </c>
      <c r="FF106" s="442">
        <v>7235</v>
      </c>
      <c r="FG106" s="442">
        <v>7196</v>
      </c>
      <c r="FH106" s="442">
        <v>7413</v>
      </c>
      <c r="FI106" s="442">
        <v>7120</v>
      </c>
      <c r="FJ106" s="442">
        <v>7225</v>
      </c>
      <c r="FK106" s="442">
        <v>7313</v>
      </c>
      <c r="FL106" s="442">
        <v>7379</v>
      </c>
      <c r="FM106" s="442">
        <v>7345</v>
      </c>
      <c r="FN106" s="442">
        <v>7391</v>
      </c>
      <c r="FO106" s="442">
        <v>7352</v>
      </c>
      <c r="FP106" s="442">
        <v>7423</v>
      </c>
      <c r="FQ106" s="442">
        <v>7537</v>
      </c>
      <c r="FR106" s="442">
        <v>7655</v>
      </c>
      <c r="FS106" s="442">
        <v>7692</v>
      </c>
      <c r="FT106" s="442">
        <v>7765</v>
      </c>
      <c r="FU106" s="442">
        <v>7838</v>
      </c>
      <c r="FV106" s="442">
        <v>7939</v>
      </c>
      <c r="FW106" s="442">
        <v>7846</v>
      </c>
      <c r="FX106" s="442">
        <v>7966</v>
      </c>
      <c r="FY106" s="442">
        <v>8076</v>
      </c>
      <c r="FZ106" s="442">
        <v>7952</v>
      </c>
      <c r="GA106" s="442">
        <v>8200</v>
      </c>
      <c r="GB106" s="442">
        <v>8017</v>
      </c>
      <c r="GC106" s="442">
        <v>7982</v>
      </c>
      <c r="GD106" s="442">
        <v>8233</v>
      </c>
      <c r="GE106" s="442">
        <v>8041</v>
      </c>
      <c r="GF106" s="442">
        <v>7651</v>
      </c>
      <c r="GG106" s="442">
        <v>7826</v>
      </c>
      <c r="GH106" s="442">
        <v>7993</v>
      </c>
      <c r="GI106" s="442">
        <v>7849</v>
      </c>
      <c r="GJ106" s="442">
        <v>8150</v>
      </c>
      <c r="GK106" s="431">
        <v>8392</v>
      </c>
    </row>
    <row r="107" spans="1:193">
      <c r="A107" s="231" t="s">
        <v>345</v>
      </c>
      <c r="B107" s="348">
        <v>1521</v>
      </c>
      <c r="C107" s="348">
        <v>1528</v>
      </c>
      <c r="D107" s="348">
        <v>1547</v>
      </c>
      <c r="E107" s="348">
        <v>1536</v>
      </c>
      <c r="F107" s="348">
        <v>1596</v>
      </c>
      <c r="G107" s="348">
        <v>1547</v>
      </c>
      <c r="H107" s="348">
        <v>1530</v>
      </c>
      <c r="I107" s="348">
        <v>1462</v>
      </c>
      <c r="J107" s="348">
        <v>1505</v>
      </c>
      <c r="K107" s="348">
        <v>1285</v>
      </c>
      <c r="L107" s="348">
        <v>1254</v>
      </c>
      <c r="M107" s="348">
        <v>1248</v>
      </c>
      <c r="N107" s="348">
        <v>1237</v>
      </c>
      <c r="O107" s="348">
        <v>1312</v>
      </c>
      <c r="P107" s="348">
        <v>1192</v>
      </c>
      <c r="Q107" s="348">
        <v>1331</v>
      </c>
      <c r="R107" s="348">
        <v>1190</v>
      </c>
      <c r="S107" s="348">
        <v>1176</v>
      </c>
      <c r="T107" s="348">
        <v>1181</v>
      </c>
      <c r="U107" s="348">
        <v>1186</v>
      </c>
      <c r="V107" s="348">
        <v>1182</v>
      </c>
      <c r="W107" s="348">
        <v>1162</v>
      </c>
      <c r="X107" s="348">
        <v>1195</v>
      </c>
      <c r="Y107" s="348">
        <v>1181</v>
      </c>
      <c r="Z107" s="348">
        <v>1178</v>
      </c>
      <c r="AA107" s="348">
        <v>1189</v>
      </c>
      <c r="AB107" s="348">
        <v>1139</v>
      </c>
      <c r="AC107" s="348">
        <v>1135</v>
      </c>
      <c r="AD107" s="348">
        <v>1068</v>
      </c>
      <c r="AE107" s="348">
        <v>1111</v>
      </c>
      <c r="AF107" s="348">
        <v>1106</v>
      </c>
      <c r="AG107" s="348">
        <v>1098</v>
      </c>
      <c r="AH107" s="348">
        <v>1054</v>
      </c>
      <c r="AI107" s="348">
        <v>1154</v>
      </c>
      <c r="AJ107" s="348">
        <v>1115</v>
      </c>
      <c r="AK107" s="348">
        <v>1103</v>
      </c>
      <c r="AL107" s="348">
        <v>1134</v>
      </c>
      <c r="AM107" s="348">
        <v>1149</v>
      </c>
      <c r="AN107" s="348">
        <v>1093</v>
      </c>
      <c r="AO107" s="348">
        <v>1071</v>
      </c>
      <c r="AP107" s="348">
        <v>1062</v>
      </c>
      <c r="AQ107" s="348">
        <v>991</v>
      </c>
      <c r="AR107" s="348">
        <v>1056</v>
      </c>
      <c r="AS107" s="348">
        <v>1011</v>
      </c>
      <c r="AT107" s="348">
        <v>1023</v>
      </c>
      <c r="AU107" s="348">
        <v>1025</v>
      </c>
      <c r="AV107" s="348">
        <v>1040</v>
      </c>
      <c r="AW107" s="348">
        <v>1104</v>
      </c>
      <c r="AX107" s="348">
        <v>1040</v>
      </c>
      <c r="AY107" s="348">
        <v>1032</v>
      </c>
      <c r="AZ107" s="348">
        <v>1129</v>
      </c>
      <c r="BA107" s="348">
        <v>1099</v>
      </c>
      <c r="BB107" s="348">
        <v>1190</v>
      </c>
      <c r="BC107" s="348">
        <v>1200</v>
      </c>
      <c r="BD107" s="348">
        <v>1190</v>
      </c>
      <c r="BE107" s="348">
        <v>1086</v>
      </c>
      <c r="BF107" s="348">
        <v>1197</v>
      </c>
      <c r="BG107" s="348">
        <v>1202</v>
      </c>
      <c r="BH107" s="348">
        <v>1221</v>
      </c>
      <c r="BI107" s="348">
        <v>1229</v>
      </c>
      <c r="BJ107" s="348">
        <v>1279</v>
      </c>
      <c r="BK107" s="348">
        <v>1297</v>
      </c>
      <c r="BL107" s="348">
        <v>1299</v>
      </c>
      <c r="BM107" s="348">
        <v>1279</v>
      </c>
      <c r="BN107" s="348">
        <v>1297</v>
      </c>
      <c r="BO107" s="348">
        <v>1299</v>
      </c>
      <c r="BP107" s="348">
        <v>1295</v>
      </c>
      <c r="BQ107" s="348">
        <v>1302</v>
      </c>
      <c r="BR107" s="348">
        <v>1305</v>
      </c>
      <c r="BS107" s="348">
        <v>1306</v>
      </c>
      <c r="BT107" s="348">
        <v>1330</v>
      </c>
      <c r="BU107" s="348">
        <v>1337</v>
      </c>
      <c r="BV107" s="348">
        <v>1364</v>
      </c>
      <c r="BW107" s="348">
        <v>1364</v>
      </c>
      <c r="BX107" s="348">
        <v>1358</v>
      </c>
      <c r="BY107" s="348">
        <v>1364</v>
      </c>
      <c r="BZ107" s="348">
        <v>1357</v>
      </c>
      <c r="CA107" s="348">
        <v>1356</v>
      </c>
      <c r="CB107" s="348">
        <v>1356</v>
      </c>
      <c r="CC107" s="348">
        <v>1354</v>
      </c>
      <c r="CD107" s="348">
        <v>1352</v>
      </c>
      <c r="CE107" s="348">
        <v>1340</v>
      </c>
      <c r="CF107" s="441">
        <v>1344</v>
      </c>
      <c r="CG107" s="441">
        <v>1342</v>
      </c>
      <c r="CH107" s="441">
        <v>1340</v>
      </c>
      <c r="CI107" s="441">
        <v>1330</v>
      </c>
      <c r="CJ107" s="441">
        <v>1421</v>
      </c>
      <c r="CK107" s="441">
        <v>1317</v>
      </c>
      <c r="CL107" s="441">
        <v>1307</v>
      </c>
      <c r="CM107" s="441">
        <v>1302</v>
      </c>
      <c r="CN107" s="441">
        <v>1303</v>
      </c>
      <c r="CO107" s="441">
        <v>1300</v>
      </c>
      <c r="CP107" s="441">
        <v>1303</v>
      </c>
      <c r="CQ107" s="441">
        <v>1319</v>
      </c>
      <c r="CR107" s="441">
        <v>1269</v>
      </c>
      <c r="CS107" s="441">
        <v>1277</v>
      </c>
      <c r="CT107" s="441">
        <v>1235</v>
      </c>
      <c r="CU107" s="441">
        <v>1268</v>
      </c>
      <c r="CV107" s="441">
        <v>1250</v>
      </c>
      <c r="CW107" s="441">
        <v>1230</v>
      </c>
      <c r="CX107" s="441">
        <v>1149</v>
      </c>
      <c r="CY107" s="441">
        <v>1075</v>
      </c>
      <c r="CZ107" s="441">
        <v>1050</v>
      </c>
      <c r="DA107" s="441">
        <v>1031</v>
      </c>
      <c r="DB107" s="441">
        <v>996</v>
      </c>
      <c r="DC107" s="441">
        <v>989</v>
      </c>
      <c r="DD107" s="441">
        <v>981</v>
      </c>
      <c r="DE107" s="441">
        <v>932</v>
      </c>
      <c r="DF107" s="441">
        <v>921</v>
      </c>
      <c r="DG107" s="441">
        <v>924</v>
      </c>
      <c r="DH107" s="441">
        <v>927</v>
      </c>
      <c r="DI107" s="441">
        <v>929</v>
      </c>
      <c r="DJ107" s="441">
        <v>916</v>
      </c>
      <c r="DK107" s="441">
        <v>903</v>
      </c>
      <c r="DL107" s="441">
        <v>861</v>
      </c>
      <c r="DM107" s="441">
        <v>887</v>
      </c>
      <c r="DN107" s="441">
        <v>882</v>
      </c>
      <c r="DO107" s="441">
        <v>884</v>
      </c>
      <c r="DP107" s="441">
        <v>907</v>
      </c>
      <c r="DQ107" s="441">
        <v>908</v>
      </c>
      <c r="DR107" s="441">
        <v>908</v>
      </c>
      <c r="DS107" s="441">
        <v>902</v>
      </c>
      <c r="DT107" s="441">
        <v>901</v>
      </c>
      <c r="DU107" s="441">
        <v>892</v>
      </c>
      <c r="DV107" s="441">
        <v>905</v>
      </c>
      <c r="DW107" s="441">
        <v>913</v>
      </c>
      <c r="DX107" s="441">
        <v>917</v>
      </c>
      <c r="DY107" s="441">
        <v>913</v>
      </c>
      <c r="DZ107" s="441">
        <v>927</v>
      </c>
      <c r="EA107" s="441">
        <v>972</v>
      </c>
      <c r="EB107" s="441">
        <v>968</v>
      </c>
      <c r="EC107" s="441">
        <v>981</v>
      </c>
      <c r="ED107" s="441">
        <v>993</v>
      </c>
      <c r="EE107" s="441">
        <v>999</v>
      </c>
      <c r="EF107" s="441">
        <v>995</v>
      </c>
      <c r="EG107" s="441">
        <v>968</v>
      </c>
      <c r="EH107" s="441">
        <v>1016</v>
      </c>
      <c r="EI107" s="441">
        <v>978</v>
      </c>
      <c r="EJ107" s="441">
        <v>1023</v>
      </c>
      <c r="EK107" s="441">
        <v>1024</v>
      </c>
      <c r="EL107" s="441">
        <v>987</v>
      </c>
      <c r="EM107" s="441">
        <v>982</v>
      </c>
      <c r="EN107" s="441">
        <v>985</v>
      </c>
      <c r="EO107" s="441">
        <v>972</v>
      </c>
      <c r="EP107" s="441">
        <v>1014</v>
      </c>
      <c r="EQ107" s="441">
        <v>1010</v>
      </c>
      <c r="ER107" s="441">
        <v>953</v>
      </c>
      <c r="ES107" s="441">
        <v>981</v>
      </c>
      <c r="ET107" s="441">
        <v>874</v>
      </c>
      <c r="EU107" s="441">
        <v>874</v>
      </c>
      <c r="EV107" s="441">
        <v>867</v>
      </c>
      <c r="EW107" s="441">
        <v>859</v>
      </c>
      <c r="EX107" s="441">
        <v>846</v>
      </c>
      <c r="EY107" s="441">
        <v>855</v>
      </c>
      <c r="EZ107" s="441">
        <v>846</v>
      </c>
      <c r="FA107" s="441">
        <v>853</v>
      </c>
      <c r="FB107" s="441">
        <v>824</v>
      </c>
      <c r="FC107" s="441">
        <v>801</v>
      </c>
      <c r="FD107" s="441">
        <v>822</v>
      </c>
      <c r="FE107" s="441">
        <v>825</v>
      </c>
      <c r="FF107" s="441">
        <v>839</v>
      </c>
      <c r="FG107" s="441">
        <v>845</v>
      </c>
      <c r="FH107" s="441">
        <v>834</v>
      </c>
      <c r="FI107" s="441">
        <v>810</v>
      </c>
      <c r="FJ107" s="441">
        <v>806</v>
      </c>
      <c r="FK107" s="441">
        <v>824</v>
      </c>
      <c r="FL107" s="441">
        <v>822</v>
      </c>
      <c r="FM107" s="441">
        <v>818</v>
      </c>
      <c r="FN107" s="441">
        <v>837</v>
      </c>
      <c r="FO107" s="441">
        <v>902</v>
      </c>
      <c r="FP107" s="441">
        <v>750</v>
      </c>
      <c r="FQ107" s="441">
        <v>973</v>
      </c>
      <c r="FR107" s="441">
        <v>772</v>
      </c>
      <c r="FS107" s="441">
        <v>773</v>
      </c>
      <c r="FT107" s="441">
        <v>836</v>
      </c>
      <c r="FU107" s="441">
        <v>793</v>
      </c>
      <c r="FV107" s="441">
        <v>819</v>
      </c>
      <c r="FW107" s="441">
        <v>815</v>
      </c>
      <c r="FX107" s="441">
        <v>821</v>
      </c>
      <c r="FY107" s="441">
        <v>801</v>
      </c>
      <c r="FZ107" s="441">
        <v>779</v>
      </c>
      <c r="GA107" s="441">
        <v>813</v>
      </c>
      <c r="GB107" s="441">
        <v>799</v>
      </c>
      <c r="GC107" s="441">
        <v>840</v>
      </c>
      <c r="GD107" s="441">
        <v>810</v>
      </c>
      <c r="GE107" s="441">
        <v>791</v>
      </c>
      <c r="GF107" s="441">
        <v>845</v>
      </c>
      <c r="GG107" s="441">
        <v>778</v>
      </c>
      <c r="GH107" s="441">
        <v>806</v>
      </c>
      <c r="GI107" s="441">
        <v>799</v>
      </c>
      <c r="GJ107" s="441">
        <v>809</v>
      </c>
      <c r="GK107" s="430">
        <v>797</v>
      </c>
    </row>
    <row r="108" spans="1:193">
      <c r="A108" s="231" t="s">
        <v>239</v>
      </c>
      <c r="B108" s="442">
        <v>5358</v>
      </c>
      <c r="C108" s="442">
        <v>5161</v>
      </c>
      <c r="D108" s="442">
        <v>5182</v>
      </c>
      <c r="E108" s="442">
        <v>5042</v>
      </c>
      <c r="F108" s="442">
        <v>5149</v>
      </c>
      <c r="G108" s="442">
        <v>5156</v>
      </c>
      <c r="H108" s="442">
        <v>5211</v>
      </c>
      <c r="I108" s="442">
        <v>5290</v>
      </c>
      <c r="J108" s="442">
        <v>4769</v>
      </c>
      <c r="K108" s="442">
        <v>4807</v>
      </c>
      <c r="L108" s="442">
        <v>4771</v>
      </c>
      <c r="M108" s="442">
        <v>4794</v>
      </c>
      <c r="N108" s="442">
        <v>4778</v>
      </c>
      <c r="O108" s="442">
        <v>4710</v>
      </c>
      <c r="P108" s="442">
        <v>5023</v>
      </c>
      <c r="Q108" s="442">
        <v>4759</v>
      </c>
      <c r="R108" s="442">
        <v>4710</v>
      </c>
      <c r="S108" s="442">
        <v>4960</v>
      </c>
      <c r="T108" s="442">
        <v>4631</v>
      </c>
      <c r="U108" s="442">
        <v>4657</v>
      </c>
      <c r="V108" s="442">
        <v>4961</v>
      </c>
      <c r="W108" s="442">
        <v>4991</v>
      </c>
      <c r="X108" s="442">
        <v>4795</v>
      </c>
      <c r="Y108" s="442">
        <v>4805</v>
      </c>
      <c r="Z108" s="442">
        <v>4658</v>
      </c>
      <c r="AA108" s="442">
        <v>5022</v>
      </c>
      <c r="AB108" s="442">
        <v>5102</v>
      </c>
      <c r="AC108" s="442">
        <v>5100</v>
      </c>
      <c r="AD108" s="442">
        <v>5137</v>
      </c>
      <c r="AE108" s="442">
        <v>5178</v>
      </c>
      <c r="AF108" s="442">
        <v>5129</v>
      </c>
      <c r="AG108" s="442">
        <v>5105</v>
      </c>
      <c r="AH108" s="442">
        <v>5122</v>
      </c>
      <c r="AI108" s="442">
        <v>5172</v>
      </c>
      <c r="AJ108" s="442">
        <v>5397</v>
      </c>
      <c r="AK108" s="442">
        <v>5392</v>
      </c>
      <c r="AL108" s="442">
        <v>5604</v>
      </c>
      <c r="AM108" s="442">
        <v>5592</v>
      </c>
      <c r="AN108" s="442">
        <v>5649</v>
      </c>
      <c r="AO108" s="442">
        <v>5540</v>
      </c>
      <c r="AP108" s="442">
        <v>5612</v>
      </c>
      <c r="AQ108" s="442">
        <v>5511</v>
      </c>
      <c r="AR108" s="442">
        <v>5670</v>
      </c>
      <c r="AS108" s="442">
        <v>5714</v>
      </c>
      <c r="AT108" s="442">
        <v>5832</v>
      </c>
      <c r="AU108" s="442">
        <v>5894</v>
      </c>
      <c r="AV108" s="442">
        <v>5991</v>
      </c>
      <c r="AW108" s="442">
        <v>5923</v>
      </c>
      <c r="AX108" s="442">
        <v>6054</v>
      </c>
      <c r="AY108" s="442">
        <v>6069</v>
      </c>
      <c r="AZ108" s="442">
        <v>6046</v>
      </c>
      <c r="BA108" s="442">
        <v>5663</v>
      </c>
      <c r="BB108" s="442">
        <v>5883</v>
      </c>
      <c r="BC108" s="442">
        <v>5980</v>
      </c>
      <c r="BD108" s="442">
        <v>6102</v>
      </c>
      <c r="BE108" s="442">
        <v>6169</v>
      </c>
      <c r="BF108" s="442">
        <v>6198</v>
      </c>
      <c r="BG108" s="442">
        <v>6311</v>
      </c>
      <c r="BH108" s="442">
        <v>6268</v>
      </c>
      <c r="BI108" s="442">
        <v>6390</v>
      </c>
      <c r="BJ108" s="442">
        <v>6239</v>
      </c>
      <c r="BK108" s="442">
        <v>6295</v>
      </c>
      <c r="BL108" s="442">
        <v>6249</v>
      </c>
      <c r="BM108" s="442">
        <v>6257</v>
      </c>
      <c r="BN108" s="442">
        <v>6496</v>
      </c>
      <c r="BO108" s="442">
        <v>6665</v>
      </c>
      <c r="BP108" s="442">
        <v>6611</v>
      </c>
      <c r="BQ108" s="442">
        <v>6564</v>
      </c>
      <c r="BR108" s="442">
        <v>6238</v>
      </c>
      <c r="BS108" s="442">
        <v>6211</v>
      </c>
      <c r="BT108" s="442">
        <v>6588</v>
      </c>
      <c r="BU108" s="442">
        <v>6327</v>
      </c>
      <c r="BV108" s="442">
        <v>6244</v>
      </c>
      <c r="BW108" s="442">
        <v>6651</v>
      </c>
      <c r="BX108" s="442">
        <v>6615</v>
      </c>
      <c r="BY108" s="442">
        <v>6630</v>
      </c>
      <c r="BZ108" s="442">
        <v>6762</v>
      </c>
      <c r="CA108" s="442">
        <v>6665</v>
      </c>
      <c r="CB108" s="442">
        <v>6768</v>
      </c>
      <c r="CC108" s="442">
        <v>7049</v>
      </c>
      <c r="CD108" s="442">
        <v>7013</v>
      </c>
      <c r="CE108" s="442">
        <v>7135</v>
      </c>
      <c r="CF108" s="442">
        <v>7558</v>
      </c>
      <c r="CG108" s="442">
        <v>7629</v>
      </c>
      <c r="CH108" s="442">
        <v>8078</v>
      </c>
      <c r="CI108" s="442">
        <v>8055</v>
      </c>
      <c r="CJ108" s="442">
        <v>8353</v>
      </c>
      <c r="CK108" s="442">
        <v>8554</v>
      </c>
      <c r="CL108" s="442">
        <v>8744</v>
      </c>
      <c r="CM108" s="442">
        <v>9273</v>
      </c>
      <c r="CN108" s="442">
        <v>9542</v>
      </c>
      <c r="CO108" s="442">
        <v>9720</v>
      </c>
      <c r="CP108" s="442">
        <v>10419</v>
      </c>
      <c r="CQ108" s="442">
        <v>10537</v>
      </c>
      <c r="CR108" s="442">
        <v>10482</v>
      </c>
      <c r="CS108" s="442">
        <v>10577</v>
      </c>
      <c r="CT108" s="442">
        <v>10825</v>
      </c>
      <c r="CU108" s="442">
        <v>10771</v>
      </c>
      <c r="CV108" s="442">
        <v>10607</v>
      </c>
      <c r="CW108" s="442">
        <v>10717</v>
      </c>
      <c r="CX108" s="442">
        <v>11002</v>
      </c>
      <c r="CY108" s="442">
        <v>10871</v>
      </c>
      <c r="CZ108" s="442">
        <v>11013</v>
      </c>
      <c r="DA108" s="442">
        <v>10990</v>
      </c>
      <c r="DB108" s="442">
        <v>11509</v>
      </c>
      <c r="DC108" s="442">
        <v>11422</v>
      </c>
      <c r="DD108" s="442">
        <v>11775</v>
      </c>
      <c r="DE108" s="442">
        <v>11822</v>
      </c>
      <c r="DF108" s="442">
        <v>11553</v>
      </c>
      <c r="DG108" s="442">
        <v>11876</v>
      </c>
      <c r="DH108" s="442">
        <v>12142</v>
      </c>
      <c r="DI108" s="442">
        <v>12199</v>
      </c>
      <c r="DJ108" s="442">
        <v>12217</v>
      </c>
      <c r="DK108" s="442">
        <v>12619</v>
      </c>
      <c r="DL108" s="442">
        <v>12663</v>
      </c>
      <c r="DM108" s="442">
        <v>13396</v>
      </c>
      <c r="DN108" s="442">
        <v>13460</v>
      </c>
      <c r="DO108" s="442">
        <v>13538</v>
      </c>
      <c r="DP108" s="442">
        <v>13764</v>
      </c>
      <c r="DQ108" s="442">
        <v>12936</v>
      </c>
      <c r="DR108" s="442">
        <v>12951</v>
      </c>
      <c r="DS108" s="442">
        <v>13125</v>
      </c>
      <c r="DT108" s="442">
        <v>13890</v>
      </c>
      <c r="DU108" s="442">
        <v>13456</v>
      </c>
      <c r="DV108" s="442">
        <v>13840</v>
      </c>
      <c r="DW108" s="442">
        <v>14132</v>
      </c>
      <c r="DX108" s="442">
        <v>14658</v>
      </c>
      <c r="DY108" s="442">
        <v>17303</v>
      </c>
      <c r="DZ108" s="442">
        <v>15082</v>
      </c>
      <c r="EA108" s="442">
        <v>15825</v>
      </c>
      <c r="EB108" s="442">
        <v>15775</v>
      </c>
      <c r="EC108" s="442">
        <v>16428</v>
      </c>
      <c r="ED108" s="442">
        <v>14722</v>
      </c>
      <c r="EE108" s="442">
        <v>15043</v>
      </c>
      <c r="EF108" s="442">
        <v>16377</v>
      </c>
      <c r="EG108" s="442">
        <v>16786</v>
      </c>
      <c r="EH108" s="442">
        <v>17400</v>
      </c>
      <c r="EI108" s="442">
        <v>17812</v>
      </c>
      <c r="EJ108" s="442">
        <v>18296</v>
      </c>
      <c r="EK108" s="442">
        <v>20095</v>
      </c>
      <c r="EL108" s="442">
        <v>19726</v>
      </c>
      <c r="EM108" s="442">
        <v>19925</v>
      </c>
      <c r="EN108" s="442">
        <v>19814</v>
      </c>
      <c r="EO108" s="442">
        <v>20046</v>
      </c>
      <c r="EP108" s="442">
        <v>20415</v>
      </c>
      <c r="EQ108" s="442">
        <v>20540</v>
      </c>
      <c r="ER108" s="442">
        <v>20873</v>
      </c>
      <c r="ES108" s="442">
        <v>21539</v>
      </c>
      <c r="ET108" s="442">
        <v>21795</v>
      </c>
      <c r="EU108" s="442">
        <v>22102</v>
      </c>
      <c r="EV108" s="442">
        <v>22451</v>
      </c>
      <c r="EW108" s="442">
        <v>22427</v>
      </c>
      <c r="EX108" s="442">
        <v>22494</v>
      </c>
      <c r="EY108" s="442">
        <v>23144</v>
      </c>
      <c r="EZ108" s="442">
        <v>23677</v>
      </c>
      <c r="FA108" s="442">
        <v>23026</v>
      </c>
      <c r="FB108" s="442">
        <v>23778</v>
      </c>
      <c r="FC108" s="442">
        <v>24261</v>
      </c>
      <c r="FD108" s="442">
        <v>23139</v>
      </c>
      <c r="FE108" s="442">
        <v>23819</v>
      </c>
      <c r="FF108" s="442">
        <v>23585</v>
      </c>
      <c r="FG108" s="442">
        <v>24120</v>
      </c>
      <c r="FH108" s="442">
        <v>24310</v>
      </c>
      <c r="FI108" s="442">
        <v>22878</v>
      </c>
      <c r="FJ108" s="442">
        <v>23145</v>
      </c>
      <c r="FK108" s="442">
        <v>23782</v>
      </c>
      <c r="FL108" s="442">
        <v>23694</v>
      </c>
      <c r="FM108" s="442">
        <v>23276</v>
      </c>
      <c r="FN108" s="442">
        <v>22811</v>
      </c>
      <c r="FO108" s="442">
        <v>23381</v>
      </c>
      <c r="FP108" s="442">
        <v>23514</v>
      </c>
      <c r="FQ108" s="442">
        <v>23146</v>
      </c>
      <c r="FR108" s="442">
        <v>22316</v>
      </c>
      <c r="FS108" s="442">
        <v>20714</v>
      </c>
      <c r="FT108" s="442">
        <v>21790</v>
      </c>
      <c r="FU108" s="442">
        <v>21442</v>
      </c>
      <c r="FV108" s="442">
        <v>21796</v>
      </c>
      <c r="FW108" s="442">
        <v>21394</v>
      </c>
      <c r="FX108" s="442">
        <v>21957</v>
      </c>
      <c r="FY108" s="442">
        <v>21611</v>
      </c>
      <c r="FZ108" s="442">
        <v>21334</v>
      </c>
      <c r="GA108" s="442">
        <v>21981</v>
      </c>
      <c r="GB108" s="442">
        <v>21776</v>
      </c>
      <c r="GC108" s="442">
        <v>21336</v>
      </c>
      <c r="GD108" s="442">
        <v>21425</v>
      </c>
      <c r="GE108" s="442">
        <v>21336</v>
      </c>
      <c r="GF108" s="442">
        <v>21333</v>
      </c>
      <c r="GG108" s="442">
        <v>21636</v>
      </c>
      <c r="GH108" s="442">
        <v>21263</v>
      </c>
      <c r="GI108" s="442">
        <v>21988</v>
      </c>
      <c r="GJ108" s="442">
        <v>22233</v>
      </c>
      <c r="GK108" s="431">
        <v>21622</v>
      </c>
    </row>
    <row r="109" spans="1:193">
      <c r="A109" s="231" t="s">
        <v>241</v>
      </c>
      <c r="B109" s="348">
        <v>1893</v>
      </c>
      <c r="C109" s="348">
        <v>1991</v>
      </c>
      <c r="D109" s="348">
        <v>3007</v>
      </c>
      <c r="E109" s="348">
        <v>1972</v>
      </c>
      <c r="F109" s="348">
        <v>1934</v>
      </c>
      <c r="G109" s="348">
        <v>1879</v>
      </c>
      <c r="H109" s="348">
        <v>2015</v>
      </c>
      <c r="I109" s="348">
        <v>1946</v>
      </c>
      <c r="J109" s="348">
        <v>1836</v>
      </c>
      <c r="K109" s="348">
        <v>1897</v>
      </c>
      <c r="L109" s="348">
        <v>2100</v>
      </c>
      <c r="M109" s="348">
        <v>1897</v>
      </c>
      <c r="N109" s="348">
        <v>1875</v>
      </c>
      <c r="O109" s="348">
        <v>1947</v>
      </c>
      <c r="P109" s="348">
        <v>1890</v>
      </c>
      <c r="Q109" s="348">
        <v>1817</v>
      </c>
      <c r="R109" s="348">
        <v>1838</v>
      </c>
      <c r="S109" s="348">
        <v>1777</v>
      </c>
      <c r="T109" s="348">
        <v>1909</v>
      </c>
      <c r="U109" s="348">
        <v>1791</v>
      </c>
      <c r="V109" s="348">
        <v>1658</v>
      </c>
      <c r="W109" s="348">
        <v>1729</v>
      </c>
      <c r="X109" s="348">
        <v>1801</v>
      </c>
      <c r="Y109" s="348">
        <v>1821</v>
      </c>
      <c r="Z109" s="348">
        <v>1821</v>
      </c>
      <c r="AA109" s="348">
        <v>1838</v>
      </c>
      <c r="AB109" s="348">
        <v>1827</v>
      </c>
      <c r="AC109" s="348">
        <v>1914</v>
      </c>
      <c r="AD109" s="348">
        <v>1919</v>
      </c>
      <c r="AE109" s="348">
        <v>1968</v>
      </c>
      <c r="AF109" s="348">
        <v>2214</v>
      </c>
      <c r="AG109" s="348">
        <v>1879</v>
      </c>
      <c r="AH109" s="348">
        <v>1849</v>
      </c>
      <c r="AI109" s="348">
        <v>1859</v>
      </c>
      <c r="AJ109" s="348">
        <v>2234</v>
      </c>
      <c r="AK109" s="348">
        <v>1838</v>
      </c>
      <c r="AL109" s="348">
        <v>1803</v>
      </c>
      <c r="AM109" s="348">
        <v>1960</v>
      </c>
      <c r="AN109" s="348">
        <v>1998</v>
      </c>
      <c r="AO109" s="348">
        <v>2014</v>
      </c>
      <c r="AP109" s="348">
        <v>2067</v>
      </c>
      <c r="AQ109" s="348">
        <v>2111</v>
      </c>
      <c r="AR109" s="348">
        <v>2069</v>
      </c>
      <c r="AS109" s="348">
        <v>2363</v>
      </c>
      <c r="AT109" s="348">
        <v>2389</v>
      </c>
      <c r="AU109" s="348">
        <v>2418</v>
      </c>
      <c r="AV109" s="348">
        <v>2484</v>
      </c>
      <c r="AW109" s="348">
        <v>2512</v>
      </c>
      <c r="AX109" s="348">
        <v>2567</v>
      </c>
      <c r="AY109" s="348">
        <v>2630</v>
      </c>
      <c r="AZ109" s="348">
        <v>2582</v>
      </c>
      <c r="BA109" s="348">
        <v>2642</v>
      </c>
      <c r="BB109" s="348">
        <v>2769</v>
      </c>
      <c r="BC109" s="348">
        <v>2866</v>
      </c>
      <c r="BD109" s="348">
        <v>2978</v>
      </c>
      <c r="BE109" s="348">
        <v>2980</v>
      </c>
      <c r="BF109" s="348">
        <v>2937</v>
      </c>
      <c r="BG109" s="348">
        <v>2991</v>
      </c>
      <c r="BH109" s="348">
        <v>3099</v>
      </c>
      <c r="BI109" s="348">
        <v>2994</v>
      </c>
      <c r="BJ109" s="348">
        <v>3096</v>
      </c>
      <c r="BK109" s="348">
        <v>3236</v>
      </c>
      <c r="BL109" s="348">
        <v>3172</v>
      </c>
      <c r="BM109" s="348">
        <v>3256</v>
      </c>
      <c r="BN109" s="348">
        <v>3253</v>
      </c>
      <c r="BO109" s="348">
        <v>3243</v>
      </c>
      <c r="BP109" s="348">
        <v>3219</v>
      </c>
      <c r="BQ109" s="348">
        <v>3294</v>
      </c>
      <c r="BR109" s="348">
        <v>3390</v>
      </c>
      <c r="BS109" s="348">
        <v>3508</v>
      </c>
      <c r="BT109" s="348">
        <v>3682</v>
      </c>
      <c r="BU109" s="348">
        <v>3562</v>
      </c>
      <c r="BV109" s="348">
        <v>3715</v>
      </c>
      <c r="BW109" s="348">
        <v>3848</v>
      </c>
      <c r="BX109" s="348">
        <v>3984</v>
      </c>
      <c r="BY109" s="348">
        <v>3931</v>
      </c>
      <c r="BZ109" s="348">
        <v>4139</v>
      </c>
      <c r="CA109" s="348">
        <v>4384</v>
      </c>
      <c r="CB109" s="348">
        <v>4293</v>
      </c>
      <c r="CC109" s="348">
        <v>4306</v>
      </c>
      <c r="CD109" s="348">
        <v>4409</v>
      </c>
      <c r="CE109" s="348">
        <v>4507</v>
      </c>
      <c r="CF109" s="441">
        <v>4679</v>
      </c>
      <c r="CG109" s="441">
        <v>4856</v>
      </c>
      <c r="CH109" s="441">
        <v>4953</v>
      </c>
      <c r="CI109" s="441">
        <v>5030</v>
      </c>
      <c r="CJ109" s="441">
        <v>5045</v>
      </c>
      <c r="CK109" s="441">
        <v>5044</v>
      </c>
      <c r="CL109" s="441">
        <v>5176</v>
      </c>
      <c r="CM109" s="441">
        <v>5105</v>
      </c>
      <c r="CN109" s="441">
        <v>5102</v>
      </c>
      <c r="CO109" s="441">
        <v>4972</v>
      </c>
      <c r="CP109" s="441">
        <v>5079</v>
      </c>
      <c r="CQ109" s="441">
        <v>5112</v>
      </c>
      <c r="CR109" s="441">
        <v>5174</v>
      </c>
      <c r="CS109" s="441">
        <v>4994</v>
      </c>
      <c r="CT109" s="441">
        <v>4995</v>
      </c>
      <c r="CU109" s="441">
        <v>4621</v>
      </c>
      <c r="CV109" s="441">
        <v>4229</v>
      </c>
      <c r="CW109" s="441">
        <v>3795</v>
      </c>
      <c r="CX109" s="441">
        <v>3760</v>
      </c>
      <c r="CY109" s="441">
        <v>3895</v>
      </c>
      <c r="CZ109" s="441">
        <v>4162</v>
      </c>
      <c r="DA109" s="441">
        <v>4037</v>
      </c>
      <c r="DB109" s="441">
        <v>4002</v>
      </c>
      <c r="DC109" s="441">
        <v>3913</v>
      </c>
      <c r="DD109" s="441">
        <v>3996</v>
      </c>
      <c r="DE109" s="441">
        <v>3981</v>
      </c>
      <c r="DF109" s="441">
        <v>3969</v>
      </c>
      <c r="DG109" s="441">
        <v>3891</v>
      </c>
      <c r="DH109" s="441">
        <v>4037</v>
      </c>
      <c r="DI109" s="441">
        <v>3570</v>
      </c>
      <c r="DJ109" s="441">
        <v>3588</v>
      </c>
      <c r="DK109" s="441">
        <v>3970</v>
      </c>
      <c r="DL109" s="441">
        <v>3665</v>
      </c>
      <c r="DM109" s="441">
        <v>3657</v>
      </c>
      <c r="DN109" s="441">
        <v>3741</v>
      </c>
      <c r="DO109" s="441">
        <v>3681</v>
      </c>
      <c r="DP109" s="441">
        <v>3822</v>
      </c>
      <c r="DQ109" s="441">
        <v>3720</v>
      </c>
      <c r="DR109" s="441">
        <v>3833</v>
      </c>
      <c r="DS109" s="441">
        <v>3812</v>
      </c>
      <c r="DT109" s="441">
        <v>3971</v>
      </c>
      <c r="DU109" s="441">
        <v>3977</v>
      </c>
      <c r="DV109" s="441">
        <v>4138</v>
      </c>
      <c r="DW109" s="441">
        <v>4092</v>
      </c>
      <c r="DX109" s="441">
        <v>4110</v>
      </c>
      <c r="DY109" s="441">
        <v>4171</v>
      </c>
      <c r="DZ109" s="441">
        <v>4248</v>
      </c>
      <c r="EA109" s="441">
        <v>4255</v>
      </c>
      <c r="EB109" s="441">
        <v>4184</v>
      </c>
      <c r="EC109" s="441">
        <v>4151</v>
      </c>
      <c r="ED109" s="441">
        <v>4167</v>
      </c>
      <c r="EE109" s="441">
        <v>4182</v>
      </c>
      <c r="EF109" s="441">
        <v>4287</v>
      </c>
      <c r="EG109" s="441">
        <v>4031</v>
      </c>
      <c r="EH109" s="441">
        <v>4075</v>
      </c>
      <c r="EI109" s="441">
        <v>4131</v>
      </c>
      <c r="EJ109" s="441">
        <v>4193</v>
      </c>
      <c r="EK109" s="441">
        <v>4224</v>
      </c>
      <c r="EL109" s="441">
        <v>4256</v>
      </c>
      <c r="EM109" s="441">
        <v>4203</v>
      </c>
      <c r="EN109" s="441">
        <v>4216</v>
      </c>
      <c r="EO109" s="441">
        <v>4055</v>
      </c>
      <c r="EP109" s="441">
        <v>4008</v>
      </c>
      <c r="EQ109" s="441">
        <v>4163</v>
      </c>
      <c r="ER109" s="441">
        <v>4064</v>
      </c>
      <c r="ES109" s="441">
        <v>4032</v>
      </c>
      <c r="ET109" s="441">
        <v>4039</v>
      </c>
      <c r="EU109" s="441">
        <v>4057</v>
      </c>
      <c r="EV109" s="441">
        <v>3914</v>
      </c>
      <c r="EW109" s="441">
        <v>3829</v>
      </c>
      <c r="EX109" s="441">
        <v>3843</v>
      </c>
      <c r="EY109" s="441">
        <v>3805</v>
      </c>
      <c r="EZ109" s="441">
        <v>3724</v>
      </c>
      <c r="FA109" s="441">
        <v>3631</v>
      </c>
      <c r="FB109" s="441">
        <v>3533</v>
      </c>
      <c r="FC109" s="441">
        <v>3437</v>
      </c>
      <c r="FD109" s="441">
        <v>3486</v>
      </c>
      <c r="FE109" s="441">
        <v>3335</v>
      </c>
      <c r="FF109" s="441">
        <v>3434</v>
      </c>
      <c r="FG109" s="441">
        <v>3259</v>
      </c>
      <c r="FH109" s="441">
        <v>3310</v>
      </c>
      <c r="FI109" s="441">
        <v>3170</v>
      </c>
      <c r="FJ109" s="441">
        <v>3135</v>
      </c>
      <c r="FK109" s="441">
        <v>3259</v>
      </c>
      <c r="FL109" s="441">
        <v>3137</v>
      </c>
      <c r="FM109" s="441">
        <v>3094</v>
      </c>
      <c r="FN109" s="441">
        <v>3082</v>
      </c>
      <c r="FO109" s="441">
        <v>3099</v>
      </c>
      <c r="FP109" s="441">
        <v>3082</v>
      </c>
      <c r="FQ109" s="441">
        <v>3054</v>
      </c>
      <c r="FR109" s="441">
        <v>3103</v>
      </c>
      <c r="FS109" s="441">
        <v>3104</v>
      </c>
      <c r="FT109" s="441">
        <v>3073</v>
      </c>
      <c r="FU109" s="441">
        <v>2887</v>
      </c>
      <c r="FV109" s="441">
        <v>2784</v>
      </c>
      <c r="FW109" s="441">
        <v>2858</v>
      </c>
      <c r="FX109" s="441">
        <v>2664</v>
      </c>
      <c r="FY109" s="441">
        <v>2575</v>
      </c>
      <c r="FZ109" s="441">
        <v>2502</v>
      </c>
      <c r="GA109" s="441">
        <v>2465</v>
      </c>
      <c r="GB109" s="441">
        <v>2441</v>
      </c>
      <c r="GC109" s="441">
        <v>2345</v>
      </c>
      <c r="GD109" s="441">
        <v>2425</v>
      </c>
      <c r="GE109" s="441">
        <v>2290</v>
      </c>
      <c r="GF109" s="441">
        <v>2229</v>
      </c>
      <c r="GG109" s="441">
        <v>2386</v>
      </c>
      <c r="GH109" s="441">
        <v>2315</v>
      </c>
      <c r="GI109" s="441">
        <v>2321</v>
      </c>
      <c r="GJ109" s="441">
        <v>2402</v>
      </c>
      <c r="GK109" s="430">
        <v>2300</v>
      </c>
    </row>
    <row r="110" spans="1:193">
      <c r="A110" s="231" t="s">
        <v>244</v>
      </c>
      <c r="B110" s="442">
        <v>432</v>
      </c>
      <c r="C110" s="442">
        <v>441</v>
      </c>
      <c r="D110" s="442">
        <v>449</v>
      </c>
      <c r="E110" s="442">
        <v>456</v>
      </c>
      <c r="F110" s="442">
        <v>438</v>
      </c>
      <c r="G110" s="442">
        <v>442</v>
      </c>
      <c r="H110" s="442">
        <v>422</v>
      </c>
      <c r="I110" s="442">
        <v>468</v>
      </c>
      <c r="J110" s="442">
        <v>418</v>
      </c>
      <c r="K110" s="442">
        <v>423</v>
      </c>
      <c r="L110" s="442">
        <v>461</v>
      </c>
      <c r="M110" s="442">
        <v>467</v>
      </c>
      <c r="N110" s="442">
        <v>420</v>
      </c>
      <c r="O110" s="442">
        <v>429</v>
      </c>
      <c r="P110" s="442">
        <v>398</v>
      </c>
      <c r="Q110" s="442">
        <v>396</v>
      </c>
      <c r="R110" s="442">
        <v>405</v>
      </c>
      <c r="S110" s="442">
        <v>394</v>
      </c>
      <c r="T110" s="442">
        <v>407</v>
      </c>
      <c r="U110" s="442">
        <v>407</v>
      </c>
      <c r="V110" s="442">
        <v>412</v>
      </c>
      <c r="W110" s="442">
        <v>416</v>
      </c>
      <c r="X110" s="442">
        <v>408</v>
      </c>
      <c r="Y110" s="442">
        <v>413</v>
      </c>
      <c r="Z110" s="442">
        <v>430</v>
      </c>
      <c r="AA110" s="442">
        <v>422</v>
      </c>
      <c r="AB110" s="442">
        <v>422</v>
      </c>
      <c r="AC110" s="442">
        <v>420</v>
      </c>
      <c r="AD110" s="442">
        <v>420</v>
      </c>
      <c r="AE110" s="442">
        <v>417</v>
      </c>
      <c r="AF110" s="442">
        <v>414</v>
      </c>
      <c r="AG110" s="442">
        <v>416</v>
      </c>
      <c r="AH110" s="442">
        <v>423</v>
      </c>
      <c r="AI110" s="442">
        <v>418</v>
      </c>
      <c r="AJ110" s="442">
        <v>415</v>
      </c>
      <c r="AK110" s="442">
        <v>416</v>
      </c>
      <c r="AL110" s="442">
        <v>410</v>
      </c>
      <c r="AM110" s="442">
        <v>417</v>
      </c>
      <c r="AN110" s="442">
        <v>411</v>
      </c>
      <c r="AO110" s="442">
        <v>415</v>
      </c>
      <c r="AP110" s="442">
        <v>412</v>
      </c>
      <c r="AQ110" s="442">
        <v>424</v>
      </c>
      <c r="AR110" s="442">
        <v>428</v>
      </c>
      <c r="AS110" s="442">
        <v>400</v>
      </c>
      <c r="AT110" s="442">
        <v>421</v>
      </c>
      <c r="AU110" s="442">
        <v>438</v>
      </c>
      <c r="AV110" s="442">
        <v>425</v>
      </c>
      <c r="AW110" s="442">
        <v>424</v>
      </c>
      <c r="AX110" s="442">
        <v>440</v>
      </c>
      <c r="AY110" s="442">
        <v>435</v>
      </c>
      <c r="AZ110" s="442">
        <v>389</v>
      </c>
      <c r="BA110" s="442">
        <v>393</v>
      </c>
      <c r="BB110" s="442">
        <v>392</v>
      </c>
      <c r="BC110" s="442">
        <v>410</v>
      </c>
      <c r="BD110" s="442">
        <v>406</v>
      </c>
      <c r="BE110" s="442">
        <v>404</v>
      </c>
      <c r="BF110" s="442">
        <v>418</v>
      </c>
      <c r="BG110" s="442">
        <v>422</v>
      </c>
      <c r="BH110" s="442">
        <v>435</v>
      </c>
      <c r="BI110" s="442">
        <v>446</v>
      </c>
      <c r="BJ110" s="442">
        <v>433</v>
      </c>
      <c r="BK110" s="442">
        <v>429</v>
      </c>
      <c r="BL110" s="442">
        <v>424</v>
      </c>
      <c r="BM110" s="442">
        <v>428</v>
      </c>
      <c r="BN110" s="442">
        <v>437</v>
      </c>
      <c r="BO110" s="442">
        <v>450</v>
      </c>
      <c r="BP110" s="442">
        <v>441</v>
      </c>
      <c r="BQ110" s="442">
        <v>451</v>
      </c>
      <c r="BR110" s="442">
        <v>451</v>
      </c>
      <c r="BS110" s="442">
        <v>451</v>
      </c>
      <c r="BT110" s="442">
        <v>454</v>
      </c>
      <c r="BU110" s="442">
        <v>447</v>
      </c>
      <c r="BV110" s="442">
        <v>455</v>
      </c>
      <c r="BW110" s="442">
        <v>500</v>
      </c>
      <c r="BX110" s="442">
        <v>466</v>
      </c>
      <c r="BY110" s="442">
        <v>467</v>
      </c>
      <c r="BZ110" s="442">
        <v>464</v>
      </c>
      <c r="CA110" s="442">
        <v>463</v>
      </c>
      <c r="CB110" s="442">
        <v>457</v>
      </c>
      <c r="CC110" s="442">
        <v>469</v>
      </c>
      <c r="CD110" s="442">
        <v>469</v>
      </c>
      <c r="CE110" s="442">
        <v>478</v>
      </c>
      <c r="CF110" s="442">
        <v>481</v>
      </c>
      <c r="CG110" s="442">
        <v>468</v>
      </c>
      <c r="CH110" s="442">
        <v>449</v>
      </c>
      <c r="CI110" s="442">
        <v>451</v>
      </c>
      <c r="CJ110" s="442">
        <v>456</v>
      </c>
      <c r="CK110" s="442">
        <v>448</v>
      </c>
      <c r="CL110" s="442">
        <v>440</v>
      </c>
      <c r="CM110" s="442">
        <v>450</v>
      </c>
      <c r="CN110" s="442">
        <v>458</v>
      </c>
      <c r="CO110" s="442">
        <v>461</v>
      </c>
      <c r="CP110" s="442">
        <v>460</v>
      </c>
      <c r="CQ110" s="442">
        <v>483</v>
      </c>
      <c r="CR110" s="442">
        <v>502</v>
      </c>
      <c r="CS110" s="442">
        <v>488</v>
      </c>
      <c r="CT110" s="442">
        <v>476</v>
      </c>
      <c r="CU110" s="442">
        <v>480</v>
      </c>
      <c r="CV110" s="442">
        <v>482</v>
      </c>
      <c r="CW110" s="442">
        <v>488</v>
      </c>
      <c r="CX110" s="442">
        <v>487</v>
      </c>
      <c r="CY110" s="442">
        <v>493</v>
      </c>
      <c r="CZ110" s="442">
        <v>489</v>
      </c>
      <c r="DA110" s="442">
        <v>489</v>
      </c>
      <c r="DB110" s="442">
        <v>491</v>
      </c>
      <c r="DC110" s="442">
        <v>496</v>
      </c>
      <c r="DD110" s="442">
        <v>505</v>
      </c>
      <c r="DE110" s="442">
        <v>499</v>
      </c>
      <c r="DF110" s="442">
        <v>494</v>
      </c>
      <c r="DG110" s="442">
        <v>492</v>
      </c>
      <c r="DH110" s="442">
        <v>497</v>
      </c>
      <c r="DI110" s="442">
        <v>497</v>
      </c>
      <c r="DJ110" s="442">
        <v>497</v>
      </c>
      <c r="DK110" s="442">
        <v>501</v>
      </c>
      <c r="DL110" s="442">
        <v>494</v>
      </c>
      <c r="DM110" s="442">
        <v>497</v>
      </c>
      <c r="DN110" s="442">
        <v>499</v>
      </c>
      <c r="DO110" s="442">
        <v>510</v>
      </c>
      <c r="DP110" s="442">
        <v>509</v>
      </c>
      <c r="DQ110" s="442">
        <v>506</v>
      </c>
      <c r="DR110" s="442">
        <v>503</v>
      </c>
      <c r="DS110" s="442">
        <v>498</v>
      </c>
      <c r="DT110" s="442">
        <v>507</v>
      </c>
      <c r="DU110" s="442">
        <v>518</v>
      </c>
      <c r="DV110" s="442">
        <v>528</v>
      </c>
      <c r="DW110" s="442">
        <v>543</v>
      </c>
      <c r="DX110" s="442">
        <v>555</v>
      </c>
      <c r="DY110" s="442">
        <v>561</v>
      </c>
      <c r="DZ110" s="442">
        <v>560</v>
      </c>
      <c r="EA110" s="442">
        <v>552</v>
      </c>
      <c r="EB110" s="442">
        <v>561</v>
      </c>
      <c r="EC110" s="442">
        <v>574</v>
      </c>
      <c r="ED110" s="442">
        <v>583</v>
      </c>
      <c r="EE110" s="442">
        <v>582</v>
      </c>
      <c r="EF110" s="442">
        <v>566</v>
      </c>
      <c r="EG110" s="442">
        <v>593</v>
      </c>
      <c r="EH110" s="442">
        <v>598</v>
      </c>
      <c r="EI110" s="442">
        <v>618</v>
      </c>
      <c r="EJ110" s="442">
        <v>610</v>
      </c>
      <c r="EK110" s="442">
        <v>591</v>
      </c>
      <c r="EL110" s="442">
        <v>620</v>
      </c>
      <c r="EM110" s="442">
        <v>584</v>
      </c>
      <c r="EN110" s="442">
        <v>580</v>
      </c>
      <c r="EO110" s="442">
        <v>565</v>
      </c>
      <c r="EP110" s="442">
        <v>566</v>
      </c>
      <c r="EQ110" s="442">
        <v>584</v>
      </c>
      <c r="ER110" s="442">
        <v>562</v>
      </c>
      <c r="ES110" s="442">
        <v>568</v>
      </c>
      <c r="ET110" s="442">
        <v>567</v>
      </c>
      <c r="EU110" s="442">
        <v>571</v>
      </c>
      <c r="EV110" s="442">
        <v>579</v>
      </c>
      <c r="EW110" s="442">
        <v>572</v>
      </c>
      <c r="EX110" s="442">
        <v>574</v>
      </c>
      <c r="EY110" s="442">
        <v>566</v>
      </c>
      <c r="EZ110" s="442">
        <v>585</v>
      </c>
      <c r="FA110" s="442">
        <v>580</v>
      </c>
      <c r="FB110" s="442">
        <v>575</v>
      </c>
      <c r="FC110" s="442">
        <v>579</v>
      </c>
      <c r="FD110" s="442">
        <v>587</v>
      </c>
      <c r="FE110" s="442">
        <v>600</v>
      </c>
      <c r="FF110" s="442">
        <v>600</v>
      </c>
      <c r="FG110" s="442">
        <v>589</v>
      </c>
      <c r="FH110" s="442">
        <v>583</v>
      </c>
      <c r="FI110" s="442">
        <v>588</v>
      </c>
      <c r="FJ110" s="442">
        <v>584</v>
      </c>
      <c r="FK110" s="442">
        <v>619</v>
      </c>
      <c r="FL110" s="442">
        <v>562</v>
      </c>
      <c r="FM110" s="442">
        <v>543</v>
      </c>
      <c r="FN110" s="442">
        <v>544</v>
      </c>
      <c r="FO110" s="442">
        <v>552</v>
      </c>
      <c r="FP110" s="442">
        <v>511</v>
      </c>
      <c r="FQ110" s="442">
        <v>563</v>
      </c>
      <c r="FR110" s="442">
        <v>528</v>
      </c>
      <c r="FS110" s="442">
        <v>529</v>
      </c>
      <c r="FT110" s="442">
        <v>513</v>
      </c>
      <c r="FU110" s="442">
        <v>514</v>
      </c>
      <c r="FV110" s="442">
        <v>508</v>
      </c>
      <c r="FW110" s="442">
        <v>514</v>
      </c>
      <c r="FX110" s="442">
        <v>513</v>
      </c>
      <c r="FY110" s="442">
        <v>494</v>
      </c>
      <c r="FZ110" s="442">
        <v>375</v>
      </c>
      <c r="GA110" s="442">
        <v>401</v>
      </c>
      <c r="GB110" s="442">
        <v>368</v>
      </c>
      <c r="GC110" s="442">
        <v>466</v>
      </c>
      <c r="GD110" s="442">
        <v>467</v>
      </c>
      <c r="GE110" s="442">
        <v>439</v>
      </c>
      <c r="GF110" s="442">
        <v>467</v>
      </c>
      <c r="GG110" s="442">
        <v>460</v>
      </c>
      <c r="GH110" s="442">
        <v>466</v>
      </c>
      <c r="GI110" s="442">
        <v>425</v>
      </c>
      <c r="GJ110" s="442">
        <v>407</v>
      </c>
      <c r="GK110" s="431">
        <v>376</v>
      </c>
    </row>
    <row r="111" spans="1:193">
      <c r="A111" s="231" t="s">
        <v>246</v>
      </c>
      <c r="B111" s="348">
        <v>185</v>
      </c>
      <c r="C111" s="348">
        <v>187</v>
      </c>
      <c r="D111" s="348">
        <v>198</v>
      </c>
      <c r="E111" s="348">
        <v>195</v>
      </c>
      <c r="F111" s="348">
        <v>193</v>
      </c>
      <c r="G111" s="348">
        <v>204</v>
      </c>
      <c r="H111" s="348">
        <v>221</v>
      </c>
      <c r="I111" s="348">
        <v>236</v>
      </c>
      <c r="J111" s="348">
        <v>242</v>
      </c>
      <c r="K111" s="348">
        <v>258</v>
      </c>
      <c r="L111" s="348">
        <v>254</v>
      </c>
      <c r="M111" s="348">
        <v>262</v>
      </c>
      <c r="N111" s="348">
        <v>258</v>
      </c>
      <c r="O111" s="348">
        <v>280</v>
      </c>
      <c r="P111" s="348">
        <v>259</v>
      </c>
      <c r="Q111" s="348">
        <v>263</v>
      </c>
      <c r="R111" s="348">
        <v>298</v>
      </c>
      <c r="S111" s="348">
        <v>304</v>
      </c>
      <c r="T111" s="348">
        <v>302</v>
      </c>
      <c r="U111" s="348">
        <v>298</v>
      </c>
      <c r="V111" s="348">
        <v>287</v>
      </c>
      <c r="W111" s="348">
        <v>287</v>
      </c>
      <c r="X111" s="348">
        <v>280</v>
      </c>
      <c r="Y111" s="348">
        <v>255</v>
      </c>
      <c r="Z111" s="348">
        <v>254</v>
      </c>
      <c r="AA111" s="348">
        <v>212</v>
      </c>
      <c r="AB111" s="348">
        <v>202</v>
      </c>
      <c r="AC111" s="348">
        <v>223</v>
      </c>
      <c r="AD111" s="348">
        <v>236</v>
      </c>
      <c r="AE111" s="348">
        <v>243</v>
      </c>
      <c r="AF111" s="348">
        <v>220</v>
      </c>
      <c r="AG111" s="348">
        <v>218</v>
      </c>
      <c r="AH111" s="348">
        <v>220</v>
      </c>
      <c r="AI111" s="348">
        <v>218</v>
      </c>
      <c r="AJ111" s="348">
        <v>228</v>
      </c>
      <c r="AK111" s="348">
        <v>235</v>
      </c>
      <c r="AL111" s="348">
        <v>229</v>
      </c>
      <c r="AM111" s="348">
        <v>232</v>
      </c>
      <c r="AN111" s="348">
        <v>236</v>
      </c>
      <c r="AO111" s="348">
        <v>232</v>
      </c>
      <c r="AP111" s="348">
        <v>231</v>
      </c>
      <c r="AQ111" s="348">
        <v>225</v>
      </c>
      <c r="AR111" s="348">
        <v>242</v>
      </c>
      <c r="AS111" s="348">
        <v>237</v>
      </c>
      <c r="AT111" s="348">
        <v>239</v>
      </c>
      <c r="AU111" s="348">
        <v>238</v>
      </c>
      <c r="AV111" s="348">
        <v>247</v>
      </c>
      <c r="AW111" s="348">
        <v>245</v>
      </c>
      <c r="AX111" s="348">
        <v>254</v>
      </c>
      <c r="AY111" s="348">
        <v>255</v>
      </c>
      <c r="AZ111" s="348">
        <v>253</v>
      </c>
      <c r="BA111" s="348">
        <v>255</v>
      </c>
      <c r="BB111" s="348">
        <v>250</v>
      </c>
      <c r="BC111" s="348">
        <v>266</v>
      </c>
      <c r="BD111" s="348">
        <v>267</v>
      </c>
      <c r="BE111" s="348">
        <v>270</v>
      </c>
      <c r="BF111" s="348">
        <v>256</v>
      </c>
      <c r="BG111" s="348">
        <v>255</v>
      </c>
      <c r="BH111" s="348">
        <v>252</v>
      </c>
      <c r="BI111" s="348">
        <v>242</v>
      </c>
      <c r="BJ111" s="348">
        <v>244</v>
      </c>
      <c r="BK111" s="348">
        <v>237</v>
      </c>
      <c r="BL111" s="348">
        <v>237</v>
      </c>
      <c r="BM111" s="348">
        <v>237</v>
      </c>
      <c r="BN111" s="348">
        <v>230</v>
      </c>
      <c r="BO111" s="348">
        <v>238</v>
      </c>
      <c r="BP111" s="348">
        <v>228</v>
      </c>
      <c r="BQ111" s="348">
        <v>234</v>
      </c>
      <c r="BR111" s="348">
        <v>224</v>
      </c>
      <c r="BS111" s="348">
        <v>226</v>
      </c>
      <c r="BT111" s="348">
        <v>229</v>
      </c>
      <c r="BU111" s="348">
        <v>219</v>
      </c>
      <c r="BV111" s="348">
        <v>213</v>
      </c>
      <c r="BW111" s="348">
        <v>220</v>
      </c>
      <c r="BX111" s="348">
        <v>215</v>
      </c>
      <c r="BY111" s="348">
        <v>219</v>
      </c>
      <c r="BZ111" s="348">
        <v>217</v>
      </c>
      <c r="CA111" s="348">
        <v>218</v>
      </c>
      <c r="CB111" s="348">
        <v>208</v>
      </c>
      <c r="CC111" s="348">
        <v>230</v>
      </c>
      <c r="CD111" s="348">
        <v>231</v>
      </c>
      <c r="CE111" s="348">
        <v>236</v>
      </c>
      <c r="CF111" s="441">
        <v>239</v>
      </c>
      <c r="CG111" s="441">
        <v>239</v>
      </c>
      <c r="CH111" s="441">
        <v>239</v>
      </c>
      <c r="CI111" s="441">
        <v>243</v>
      </c>
      <c r="CJ111" s="441">
        <v>243</v>
      </c>
      <c r="CK111" s="441">
        <v>248</v>
      </c>
      <c r="CL111" s="441">
        <v>256</v>
      </c>
      <c r="CM111" s="441">
        <v>255</v>
      </c>
      <c r="CN111" s="441">
        <v>257</v>
      </c>
      <c r="CO111" s="441">
        <v>265</v>
      </c>
      <c r="CP111" s="441">
        <v>267</v>
      </c>
      <c r="CQ111" s="441">
        <v>268</v>
      </c>
      <c r="CR111" s="441">
        <v>268</v>
      </c>
      <c r="CS111" s="441">
        <v>202</v>
      </c>
      <c r="CT111" s="441">
        <v>191</v>
      </c>
      <c r="CU111" s="441">
        <v>188</v>
      </c>
      <c r="CV111" s="441">
        <v>188</v>
      </c>
      <c r="CW111" s="441">
        <v>190</v>
      </c>
      <c r="CX111" s="441">
        <v>183</v>
      </c>
      <c r="CY111" s="441">
        <v>172</v>
      </c>
      <c r="CZ111" s="441">
        <v>151</v>
      </c>
      <c r="DA111" s="441">
        <v>149</v>
      </c>
      <c r="DB111" s="441">
        <v>147</v>
      </c>
      <c r="DC111" s="441">
        <v>151</v>
      </c>
      <c r="DD111" s="441">
        <v>159</v>
      </c>
      <c r="DE111" s="441">
        <v>165</v>
      </c>
      <c r="DF111" s="441">
        <v>172</v>
      </c>
      <c r="DG111" s="441">
        <v>182</v>
      </c>
      <c r="DH111" s="441">
        <v>183</v>
      </c>
      <c r="DI111" s="441">
        <v>188</v>
      </c>
      <c r="DJ111" s="441">
        <v>218</v>
      </c>
      <c r="DK111" s="441">
        <v>235</v>
      </c>
      <c r="DL111" s="441">
        <v>231</v>
      </c>
      <c r="DM111" s="441">
        <v>230</v>
      </c>
      <c r="DN111" s="441">
        <v>233</v>
      </c>
      <c r="DO111" s="441">
        <v>230</v>
      </c>
      <c r="DP111" s="441">
        <v>228</v>
      </c>
      <c r="DQ111" s="441">
        <v>237</v>
      </c>
      <c r="DR111" s="441">
        <v>255</v>
      </c>
      <c r="DS111" s="441">
        <v>260</v>
      </c>
      <c r="DT111" s="441">
        <v>269</v>
      </c>
      <c r="DU111" s="441">
        <v>289</v>
      </c>
      <c r="DV111" s="441">
        <v>301</v>
      </c>
      <c r="DW111" s="441">
        <v>306</v>
      </c>
      <c r="DX111" s="441">
        <v>292</v>
      </c>
      <c r="DY111" s="441">
        <v>290</v>
      </c>
      <c r="DZ111" s="441">
        <v>278</v>
      </c>
      <c r="EA111" s="441">
        <v>288</v>
      </c>
      <c r="EB111" s="441">
        <v>302</v>
      </c>
      <c r="EC111" s="441">
        <v>302</v>
      </c>
      <c r="ED111" s="441">
        <v>314</v>
      </c>
      <c r="EE111" s="441">
        <v>308</v>
      </c>
      <c r="EF111" s="441">
        <v>311</v>
      </c>
      <c r="EG111" s="441">
        <v>297</v>
      </c>
      <c r="EH111" s="441">
        <v>292</v>
      </c>
      <c r="EI111" s="441">
        <v>284</v>
      </c>
      <c r="EJ111" s="441">
        <v>295</v>
      </c>
      <c r="EK111" s="441">
        <v>289</v>
      </c>
      <c r="EL111" s="441">
        <v>303</v>
      </c>
      <c r="EM111" s="441">
        <v>298</v>
      </c>
      <c r="EN111" s="441">
        <v>301</v>
      </c>
      <c r="EO111" s="441">
        <v>304</v>
      </c>
      <c r="EP111" s="441">
        <v>300</v>
      </c>
      <c r="EQ111" s="441">
        <v>306</v>
      </c>
      <c r="ER111" s="441">
        <v>301</v>
      </c>
      <c r="ES111" s="441">
        <v>297</v>
      </c>
      <c r="ET111" s="441">
        <v>248</v>
      </c>
      <c r="EU111" s="441">
        <v>244</v>
      </c>
      <c r="EV111" s="441">
        <v>236</v>
      </c>
      <c r="EW111" s="441">
        <v>235</v>
      </c>
      <c r="EX111" s="441">
        <v>227</v>
      </c>
      <c r="EY111" s="441">
        <v>228</v>
      </c>
      <c r="EZ111" s="441">
        <v>226</v>
      </c>
      <c r="FA111" s="441">
        <v>227</v>
      </c>
      <c r="FB111" s="441">
        <v>233</v>
      </c>
      <c r="FC111" s="441">
        <v>231</v>
      </c>
      <c r="FD111" s="441">
        <v>227</v>
      </c>
      <c r="FE111" s="441">
        <v>233</v>
      </c>
      <c r="FF111" s="441">
        <v>248</v>
      </c>
      <c r="FG111" s="441">
        <v>241</v>
      </c>
      <c r="FH111" s="441">
        <v>245</v>
      </c>
      <c r="FI111" s="441">
        <v>248</v>
      </c>
      <c r="FJ111" s="441">
        <v>239</v>
      </c>
      <c r="FK111" s="441">
        <v>250</v>
      </c>
      <c r="FL111" s="441">
        <v>238</v>
      </c>
      <c r="FM111" s="441">
        <v>239</v>
      </c>
      <c r="FN111" s="441">
        <v>250</v>
      </c>
      <c r="FO111" s="441">
        <v>254</v>
      </c>
      <c r="FP111" s="441">
        <v>246</v>
      </c>
      <c r="FQ111" s="441">
        <v>245</v>
      </c>
      <c r="FR111" s="441">
        <v>248</v>
      </c>
      <c r="FS111" s="441">
        <v>246</v>
      </c>
      <c r="FT111" s="441">
        <v>241</v>
      </c>
      <c r="FU111" s="441">
        <v>247</v>
      </c>
      <c r="FV111" s="441">
        <v>243</v>
      </c>
      <c r="FW111" s="441">
        <v>240</v>
      </c>
      <c r="FX111" s="441">
        <v>241</v>
      </c>
      <c r="FY111" s="441">
        <v>249</v>
      </c>
      <c r="FZ111" s="441">
        <v>263</v>
      </c>
      <c r="GA111" s="441">
        <v>295</v>
      </c>
      <c r="GB111" s="441">
        <v>314</v>
      </c>
      <c r="GC111" s="441">
        <v>320</v>
      </c>
      <c r="GD111" s="441">
        <v>354</v>
      </c>
      <c r="GE111" s="441">
        <v>343</v>
      </c>
      <c r="GF111" s="441">
        <v>274</v>
      </c>
      <c r="GG111" s="441">
        <v>286</v>
      </c>
      <c r="GH111" s="441">
        <v>265</v>
      </c>
      <c r="GI111" s="441">
        <v>252</v>
      </c>
      <c r="GJ111" s="441">
        <v>303</v>
      </c>
      <c r="GK111" s="430">
        <v>300</v>
      </c>
    </row>
    <row r="112" spans="1:193" ht="15.75" thickBot="1">
      <c r="A112" s="232" t="s">
        <v>103</v>
      </c>
      <c r="B112" s="161">
        <v>885</v>
      </c>
      <c r="C112" s="435">
        <v>941</v>
      </c>
      <c r="D112" s="435">
        <v>938</v>
      </c>
      <c r="E112" s="435">
        <v>935</v>
      </c>
      <c r="F112" s="435">
        <v>935</v>
      </c>
      <c r="G112" s="435">
        <v>934</v>
      </c>
      <c r="H112" s="435">
        <v>952</v>
      </c>
      <c r="I112" s="435">
        <v>954</v>
      </c>
      <c r="J112" s="435">
        <v>938</v>
      </c>
      <c r="K112" s="435">
        <v>929</v>
      </c>
      <c r="L112" s="435">
        <v>932</v>
      </c>
      <c r="M112" s="435">
        <v>914</v>
      </c>
      <c r="N112" s="435">
        <v>886</v>
      </c>
      <c r="O112" s="435">
        <v>910</v>
      </c>
      <c r="P112" s="435">
        <v>917</v>
      </c>
      <c r="Q112" s="435">
        <v>895</v>
      </c>
      <c r="R112" s="435">
        <v>811</v>
      </c>
      <c r="S112" s="435">
        <v>908</v>
      </c>
      <c r="T112" s="435">
        <v>946</v>
      </c>
      <c r="U112" s="435">
        <v>1094</v>
      </c>
      <c r="V112" s="435">
        <v>961</v>
      </c>
      <c r="W112" s="435">
        <v>956</v>
      </c>
      <c r="X112" s="435">
        <v>1066</v>
      </c>
      <c r="Y112" s="435">
        <v>914</v>
      </c>
      <c r="Z112" s="435">
        <v>869</v>
      </c>
      <c r="AA112" s="435">
        <v>874</v>
      </c>
      <c r="AB112" s="435">
        <v>892</v>
      </c>
      <c r="AC112" s="435">
        <v>907</v>
      </c>
      <c r="AD112" s="435">
        <v>882</v>
      </c>
      <c r="AE112" s="435">
        <v>879</v>
      </c>
      <c r="AF112" s="435">
        <v>873</v>
      </c>
      <c r="AG112" s="435">
        <v>895</v>
      </c>
      <c r="AH112" s="435">
        <v>900</v>
      </c>
      <c r="AI112" s="435">
        <v>903</v>
      </c>
      <c r="AJ112" s="435">
        <v>926</v>
      </c>
      <c r="AK112" s="435">
        <v>915</v>
      </c>
      <c r="AL112" s="435">
        <v>917</v>
      </c>
      <c r="AM112" s="435">
        <v>926</v>
      </c>
      <c r="AN112" s="435">
        <v>934</v>
      </c>
      <c r="AO112" s="435">
        <v>963</v>
      </c>
      <c r="AP112" s="435">
        <v>975</v>
      </c>
      <c r="AQ112" s="435">
        <v>978</v>
      </c>
      <c r="AR112" s="435">
        <v>970</v>
      </c>
      <c r="AS112" s="435">
        <v>975</v>
      </c>
      <c r="AT112" s="435">
        <v>958</v>
      </c>
      <c r="AU112" s="435">
        <v>996</v>
      </c>
      <c r="AV112" s="435">
        <v>996</v>
      </c>
      <c r="AW112" s="435">
        <v>983</v>
      </c>
      <c r="AX112" s="435">
        <v>999</v>
      </c>
      <c r="AY112" s="435">
        <v>1023</v>
      </c>
      <c r="AZ112" s="435">
        <v>1007</v>
      </c>
      <c r="BA112" s="435">
        <v>1008</v>
      </c>
      <c r="BB112" s="435">
        <v>1010</v>
      </c>
      <c r="BC112" s="435">
        <v>975</v>
      </c>
      <c r="BD112" s="435">
        <v>1033</v>
      </c>
      <c r="BE112" s="435">
        <v>1014</v>
      </c>
      <c r="BF112" s="435">
        <v>1064</v>
      </c>
      <c r="BG112" s="435">
        <v>1309</v>
      </c>
      <c r="BH112" s="435">
        <v>1089</v>
      </c>
      <c r="BI112" s="435">
        <v>1082</v>
      </c>
      <c r="BJ112" s="435">
        <v>1040</v>
      </c>
      <c r="BK112" s="435">
        <v>1072</v>
      </c>
      <c r="BL112" s="435">
        <v>1081</v>
      </c>
      <c r="BM112" s="435">
        <v>1074</v>
      </c>
      <c r="BN112" s="435">
        <v>1071</v>
      </c>
      <c r="BO112" s="435">
        <v>1072</v>
      </c>
      <c r="BP112" s="435">
        <v>1076</v>
      </c>
      <c r="BQ112" s="435">
        <v>1055</v>
      </c>
      <c r="BR112" s="435">
        <v>1062</v>
      </c>
      <c r="BS112" s="435">
        <v>1073</v>
      </c>
      <c r="BT112" s="435">
        <v>1074</v>
      </c>
      <c r="BU112" s="435">
        <v>1074</v>
      </c>
      <c r="BV112" s="435">
        <v>1050</v>
      </c>
      <c r="BW112" s="435">
        <v>1077</v>
      </c>
      <c r="BX112" s="435">
        <v>1082</v>
      </c>
      <c r="BY112" s="435">
        <v>1080</v>
      </c>
      <c r="BZ112" s="435">
        <v>1085</v>
      </c>
      <c r="CA112" s="435">
        <v>1067</v>
      </c>
      <c r="CB112" s="435">
        <v>1108</v>
      </c>
      <c r="CC112" s="435">
        <v>1114</v>
      </c>
      <c r="CD112" s="435">
        <v>1087</v>
      </c>
      <c r="CE112" s="435">
        <v>1111</v>
      </c>
      <c r="CF112" s="435">
        <v>1116</v>
      </c>
      <c r="CG112" s="435">
        <v>1086</v>
      </c>
      <c r="CH112" s="435">
        <v>1167</v>
      </c>
      <c r="CI112" s="435">
        <v>1191</v>
      </c>
      <c r="CJ112" s="435">
        <v>1187</v>
      </c>
      <c r="CK112" s="435">
        <v>1252</v>
      </c>
      <c r="CL112" s="435">
        <v>1275</v>
      </c>
      <c r="CM112" s="435">
        <v>1249</v>
      </c>
      <c r="CN112" s="435">
        <v>1316</v>
      </c>
      <c r="CO112" s="435">
        <v>1352</v>
      </c>
      <c r="CP112" s="435">
        <v>1317</v>
      </c>
      <c r="CQ112" s="435">
        <v>1302</v>
      </c>
      <c r="CR112" s="435">
        <v>1307</v>
      </c>
      <c r="CS112" s="435">
        <v>1259</v>
      </c>
      <c r="CT112" s="435">
        <v>1154</v>
      </c>
      <c r="CU112" s="435">
        <v>1213</v>
      </c>
      <c r="CV112" s="435">
        <v>1250</v>
      </c>
      <c r="CW112" s="435">
        <v>1228</v>
      </c>
      <c r="CX112" s="435">
        <v>1242</v>
      </c>
      <c r="CY112" s="435">
        <v>1232</v>
      </c>
      <c r="CZ112" s="435">
        <v>1286</v>
      </c>
      <c r="DA112" s="435">
        <v>1301</v>
      </c>
      <c r="DB112" s="435">
        <v>1285</v>
      </c>
      <c r="DC112" s="435">
        <v>1306</v>
      </c>
      <c r="DD112" s="435">
        <v>1314</v>
      </c>
      <c r="DE112" s="435">
        <v>1294</v>
      </c>
      <c r="DF112" s="435">
        <v>1267</v>
      </c>
      <c r="DG112" s="435">
        <v>1271</v>
      </c>
      <c r="DH112" s="435">
        <v>1302</v>
      </c>
      <c r="DI112" s="435">
        <v>1336</v>
      </c>
      <c r="DJ112" s="435">
        <v>1366</v>
      </c>
      <c r="DK112" s="435">
        <v>1323</v>
      </c>
      <c r="DL112" s="435">
        <v>1383</v>
      </c>
      <c r="DM112" s="435">
        <v>1418</v>
      </c>
      <c r="DN112" s="435">
        <v>1426</v>
      </c>
      <c r="DO112" s="435">
        <v>1432</v>
      </c>
      <c r="DP112" s="435">
        <v>1456</v>
      </c>
      <c r="DQ112" s="435">
        <v>1457</v>
      </c>
      <c r="DR112" s="435">
        <v>1447</v>
      </c>
      <c r="DS112" s="435">
        <v>1492</v>
      </c>
      <c r="DT112" s="435">
        <v>1532</v>
      </c>
      <c r="DU112" s="435">
        <v>1488</v>
      </c>
      <c r="DV112" s="435">
        <v>1517</v>
      </c>
      <c r="DW112" s="435">
        <v>1576</v>
      </c>
      <c r="DX112" s="435">
        <v>1636</v>
      </c>
      <c r="DY112" s="435">
        <v>1673</v>
      </c>
      <c r="DZ112" s="435">
        <v>1657</v>
      </c>
      <c r="EA112" s="435">
        <v>1748</v>
      </c>
      <c r="EB112" s="435">
        <v>1740</v>
      </c>
      <c r="EC112" s="435">
        <v>1713</v>
      </c>
      <c r="ED112" s="435">
        <v>1729</v>
      </c>
      <c r="EE112" s="435">
        <v>1728</v>
      </c>
      <c r="EF112" s="435">
        <v>1793</v>
      </c>
      <c r="EG112" s="435">
        <v>1793</v>
      </c>
      <c r="EH112" s="435">
        <v>1801</v>
      </c>
      <c r="EI112" s="435">
        <v>1779</v>
      </c>
      <c r="EJ112" s="435">
        <v>1820</v>
      </c>
      <c r="EK112" s="435">
        <v>1870</v>
      </c>
      <c r="EL112" s="435">
        <v>1798</v>
      </c>
      <c r="EM112" s="435">
        <v>1798</v>
      </c>
      <c r="EN112" s="435">
        <v>1788</v>
      </c>
      <c r="EO112" s="435">
        <v>1672</v>
      </c>
      <c r="EP112" s="435">
        <v>1675</v>
      </c>
      <c r="EQ112" s="435">
        <v>1642</v>
      </c>
      <c r="ER112" s="435">
        <v>1686</v>
      </c>
      <c r="ES112" s="435">
        <v>1594</v>
      </c>
      <c r="ET112" s="435">
        <v>1726</v>
      </c>
      <c r="EU112" s="435">
        <v>1697</v>
      </c>
      <c r="EV112" s="435">
        <v>1718</v>
      </c>
      <c r="EW112" s="435">
        <v>1730</v>
      </c>
      <c r="EX112" s="435">
        <v>1720</v>
      </c>
      <c r="EY112" s="435">
        <v>1734</v>
      </c>
      <c r="EZ112" s="435">
        <v>1729</v>
      </c>
      <c r="FA112" s="435">
        <v>1712</v>
      </c>
      <c r="FB112" s="435">
        <v>1743</v>
      </c>
      <c r="FC112" s="435">
        <v>1711</v>
      </c>
      <c r="FD112" s="435">
        <v>1681</v>
      </c>
      <c r="FE112" s="435">
        <v>1635</v>
      </c>
      <c r="FF112" s="435">
        <v>1654</v>
      </c>
      <c r="FG112" s="435">
        <v>1724</v>
      </c>
      <c r="FH112" s="435">
        <v>1672</v>
      </c>
      <c r="FI112" s="435">
        <v>1624</v>
      </c>
      <c r="FJ112" s="435">
        <v>1695</v>
      </c>
      <c r="FK112" s="435">
        <v>1716</v>
      </c>
      <c r="FL112" s="435">
        <v>1601</v>
      </c>
      <c r="FM112" s="435">
        <v>1547</v>
      </c>
      <c r="FN112" s="435">
        <v>1492</v>
      </c>
      <c r="FO112" s="435">
        <v>1524</v>
      </c>
      <c r="FP112" s="435">
        <v>1502</v>
      </c>
      <c r="FQ112" s="435">
        <v>1506</v>
      </c>
      <c r="FR112" s="435">
        <v>1522</v>
      </c>
      <c r="FS112" s="435">
        <v>1716</v>
      </c>
      <c r="FT112" s="435">
        <v>1491</v>
      </c>
      <c r="FU112" s="435">
        <v>1491</v>
      </c>
      <c r="FV112" s="435">
        <v>1496</v>
      </c>
      <c r="FW112" s="435">
        <v>1521</v>
      </c>
      <c r="FX112" s="435">
        <v>1550</v>
      </c>
      <c r="FY112" s="435">
        <v>1488</v>
      </c>
      <c r="FZ112" s="435">
        <v>1458</v>
      </c>
      <c r="GA112" s="435">
        <v>1383</v>
      </c>
      <c r="GB112" s="435">
        <v>1230</v>
      </c>
      <c r="GC112" s="435">
        <v>1197</v>
      </c>
      <c r="GD112" s="435">
        <v>1181</v>
      </c>
      <c r="GE112" s="435">
        <v>1230</v>
      </c>
      <c r="GF112" s="435">
        <v>1192</v>
      </c>
      <c r="GG112" s="435">
        <v>1196</v>
      </c>
      <c r="GH112" s="435">
        <v>1208</v>
      </c>
      <c r="GI112" s="435">
        <v>1211</v>
      </c>
      <c r="GJ112" s="435">
        <v>1245</v>
      </c>
      <c r="GK112" s="432">
        <v>1258</v>
      </c>
    </row>
    <row r="113" spans="1:193" ht="16.5" thickTop="1" thickBot="1">
      <c r="A113" s="162" t="s">
        <v>183</v>
      </c>
      <c r="B113" s="436">
        <v>20848</v>
      </c>
      <c r="C113" s="436">
        <v>20990</v>
      </c>
      <c r="D113" s="436">
        <v>22070</v>
      </c>
      <c r="E113" s="436">
        <v>20916</v>
      </c>
      <c r="F113" s="436">
        <v>21115</v>
      </c>
      <c r="G113" s="436">
        <v>20791</v>
      </c>
      <c r="H113" s="436">
        <v>21419</v>
      </c>
      <c r="I113" s="436">
        <v>21073</v>
      </c>
      <c r="J113" s="436">
        <v>20441</v>
      </c>
      <c r="K113" s="436">
        <v>20465</v>
      </c>
      <c r="L113" s="436">
        <v>20612</v>
      </c>
      <c r="M113" s="436">
        <v>20256</v>
      </c>
      <c r="N113" s="436">
        <v>20127</v>
      </c>
      <c r="O113" s="436">
        <v>19888</v>
      </c>
      <c r="P113" s="436">
        <v>20345</v>
      </c>
      <c r="Q113" s="436">
        <v>19888</v>
      </c>
      <c r="R113" s="436">
        <v>19795</v>
      </c>
      <c r="S113" s="436">
        <v>20029</v>
      </c>
      <c r="T113" s="436">
        <v>20210</v>
      </c>
      <c r="U113" s="436">
        <v>19612</v>
      </c>
      <c r="V113" s="436">
        <v>19902</v>
      </c>
      <c r="W113" s="436">
        <v>20149</v>
      </c>
      <c r="X113" s="436">
        <v>19955</v>
      </c>
      <c r="Y113" s="436">
        <v>19834</v>
      </c>
      <c r="Z113" s="436">
        <v>19870</v>
      </c>
      <c r="AA113" s="436">
        <v>20219</v>
      </c>
      <c r="AB113" s="436">
        <v>20081</v>
      </c>
      <c r="AC113" s="436">
        <v>20284</v>
      </c>
      <c r="AD113" s="436">
        <v>20331</v>
      </c>
      <c r="AE113" s="436">
        <v>20479</v>
      </c>
      <c r="AF113" s="436">
        <v>20580</v>
      </c>
      <c r="AG113" s="436">
        <v>20494</v>
      </c>
      <c r="AH113" s="436">
        <v>20402</v>
      </c>
      <c r="AI113" s="436">
        <v>20547</v>
      </c>
      <c r="AJ113" s="436">
        <v>20802</v>
      </c>
      <c r="AK113" s="436">
        <v>20393</v>
      </c>
      <c r="AL113" s="436">
        <v>20366</v>
      </c>
      <c r="AM113" s="436">
        <v>20656</v>
      </c>
      <c r="AN113" s="436">
        <v>20747</v>
      </c>
      <c r="AO113" s="436">
        <v>20652</v>
      </c>
      <c r="AP113" s="436">
        <v>20928</v>
      </c>
      <c r="AQ113" s="436">
        <v>20969</v>
      </c>
      <c r="AR113" s="436">
        <v>21225</v>
      </c>
      <c r="AS113" s="436">
        <v>21774</v>
      </c>
      <c r="AT113" s="436">
        <v>21710</v>
      </c>
      <c r="AU113" s="436">
        <v>21475</v>
      </c>
      <c r="AV113" s="436">
        <v>21995</v>
      </c>
      <c r="AW113" s="436">
        <v>21962</v>
      </c>
      <c r="AX113" s="436">
        <v>22162</v>
      </c>
      <c r="AY113" s="436">
        <v>22517</v>
      </c>
      <c r="AZ113" s="436">
        <v>22409</v>
      </c>
      <c r="BA113" s="436">
        <v>22111</v>
      </c>
      <c r="BB113" s="436">
        <v>22848</v>
      </c>
      <c r="BC113" s="436">
        <v>23079</v>
      </c>
      <c r="BD113" s="436">
        <v>23612</v>
      </c>
      <c r="BE113" s="436">
        <v>23240</v>
      </c>
      <c r="BF113" s="436">
        <v>23588</v>
      </c>
      <c r="BG113" s="436">
        <v>23979</v>
      </c>
      <c r="BH113" s="436">
        <v>23882</v>
      </c>
      <c r="BI113" s="436">
        <v>23967</v>
      </c>
      <c r="BJ113" s="436">
        <v>23871</v>
      </c>
      <c r="BK113" s="436">
        <v>24422</v>
      </c>
      <c r="BL113" s="436">
        <v>24279</v>
      </c>
      <c r="BM113" s="436">
        <v>24169</v>
      </c>
      <c r="BN113" s="436">
        <v>25042</v>
      </c>
      <c r="BO113" s="436">
        <v>25150</v>
      </c>
      <c r="BP113" s="436">
        <v>25145</v>
      </c>
      <c r="BQ113" s="436">
        <v>25708</v>
      </c>
      <c r="BR113" s="436">
        <v>25186</v>
      </c>
      <c r="BS113" s="436">
        <v>25430</v>
      </c>
      <c r="BT113" s="436">
        <v>26080</v>
      </c>
      <c r="BU113" s="436">
        <v>25123</v>
      </c>
      <c r="BV113" s="436">
        <v>25644</v>
      </c>
      <c r="BW113" s="436">
        <v>26168</v>
      </c>
      <c r="BX113" s="436">
        <v>26367</v>
      </c>
      <c r="BY113" s="436">
        <v>26419</v>
      </c>
      <c r="BZ113" s="436">
        <v>27006</v>
      </c>
      <c r="CA113" s="436">
        <v>27010</v>
      </c>
      <c r="CB113" s="436">
        <v>27336</v>
      </c>
      <c r="CC113" s="436">
        <v>27792</v>
      </c>
      <c r="CD113" s="436">
        <v>27685</v>
      </c>
      <c r="CE113" s="436">
        <v>28074</v>
      </c>
      <c r="CF113" s="436">
        <v>28738</v>
      </c>
      <c r="CG113" s="436">
        <v>29076</v>
      </c>
      <c r="CH113" s="436">
        <v>29728</v>
      </c>
      <c r="CI113" s="436">
        <v>29908</v>
      </c>
      <c r="CJ113" s="436">
        <v>29654</v>
      </c>
      <c r="CK113" s="436">
        <v>30125</v>
      </c>
      <c r="CL113" s="436">
        <v>30386</v>
      </c>
      <c r="CM113" s="436">
        <v>31003</v>
      </c>
      <c r="CN113" s="436">
        <v>31339</v>
      </c>
      <c r="CO113" s="436">
        <v>31157</v>
      </c>
      <c r="CP113" s="436">
        <v>31911</v>
      </c>
      <c r="CQ113" s="436">
        <v>32235</v>
      </c>
      <c r="CR113" s="436">
        <v>32196</v>
      </c>
      <c r="CS113" s="436">
        <v>32029</v>
      </c>
      <c r="CT113" s="436">
        <v>32225</v>
      </c>
      <c r="CU113" s="436">
        <v>31654</v>
      </c>
      <c r="CV113" s="436">
        <v>31362</v>
      </c>
      <c r="CW113" s="436">
        <v>31016</v>
      </c>
      <c r="CX113" s="436">
        <v>31360</v>
      </c>
      <c r="CY113" s="436">
        <v>31339</v>
      </c>
      <c r="CZ113" s="436">
        <v>32164</v>
      </c>
      <c r="DA113" s="436">
        <v>31808</v>
      </c>
      <c r="DB113" s="436">
        <v>32251</v>
      </c>
      <c r="DC113" s="436">
        <v>32149</v>
      </c>
      <c r="DD113" s="436">
        <v>32447</v>
      </c>
      <c r="DE113" s="436">
        <v>32327</v>
      </c>
      <c r="DF113" s="436">
        <v>32126</v>
      </c>
      <c r="DG113" s="436">
        <v>32841</v>
      </c>
      <c r="DH113" s="436">
        <v>33217</v>
      </c>
      <c r="DI113" s="436">
        <v>32605</v>
      </c>
      <c r="DJ113" s="436">
        <v>33530</v>
      </c>
      <c r="DK113" s="436">
        <v>33918</v>
      </c>
      <c r="DL113" s="436">
        <v>33926</v>
      </c>
      <c r="DM113" s="436">
        <v>34493</v>
      </c>
      <c r="DN113" s="436">
        <v>34664</v>
      </c>
      <c r="DO113" s="436">
        <v>35071</v>
      </c>
      <c r="DP113" s="436">
        <v>35677</v>
      </c>
      <c r="DQ113" s="436">
        <v>34973</v>
      </c>
      <c r="DR113" s="436">
        <v>34997</v>
      </c>
      <c r="DS113" s="436">
        <v>35664</v>
      </c>
      <c r="DT113" s="436">
        <v>36586</v>
      </c>
      <c r="DU113" s="436">
        <v>35891</v>
      </c>
      <c r="DV113" s="436">
        <v>36991</v>
      </c>
      <c r="DW113" s="436">
        <v>37225</v>
      </c>
      <c r="DX113" s="436">
        <v>38081</v>
      </c>
      <c r="DY113" s="436">
        <v>41207</v>
      </c>
      <c r="DZ113" s="436">
        <v>39130</v>
      </c>
      <c r="EA113" s="436">
        <v>39986</v>
      </c>
      <c r="EB113" s="436">
        <v>40430</v>
      </c>
      <c r="EC113" s="436">
        <v>41125</v>
      </c>
      <c r="ED113" s="436">
        <v>39382</v>
      </c>
      <c r="EE113" s="436">
        <v>40143</v>
      </c>
      <c r="EF113" s="436">
        <v>41382</v>
      </c>
      <c r="EG113" s="436">
        <v>41261</v>
      </c>
      <c r="EH113" s="436">
        <v>42036</v>
      </c>
      <c r="EI113" s="436">
        <v>42175</v>
      </c>
      <c r="EJ113" s="436">
        <v>42908</v>
      </c>
      <c r="EK113" s="436">
        <v>44827</v>
      </c>
      <c r="EL113" s="436">
        <v>44307</v>
      </c>
      <c r="EM113" s="436">
        <v>44679</v>
      </c>
      <c r="EN113" s="436">
        <v>44731</v>
      </c>
      <c r="EO113" s="436">
        <v>44206</v>
      </c>
      <c r="EP113" s="436">
        <v>44901</v>
      </c>
      <c r="EQ113" s="436">
        <v>45165</v>
      </c>
      <c r="ER113" s="436">
        <v>45358</v>
      </c>
      <c r="ES113" s="436">
        <v>46082</v>
      </c>
      <c r="ET113" s="436">
        <v>45908</v>
      </c>
      <c r="EU113" s="436">
        <v>45881</v>
      </c>
      <c r="EV113" s="436">
        <v>46156</v>
      </c>
      <c r="EW113" s="436">
        <v>45475</v>
      </c>
      <c r="EX113" s="436">
        <v>45251</v>
      </c>
      <c r="EY113" s="436">
        <v>46191</v>
      </c>
      <c r="EZ113" s="436">
        <v>47075</v>
      </c>
      <c r="FA113" s="436">
        <v>45616</v>
      </c>
      <c r="FB113" s="436">
        <v>46053</v>
      </c>
      <c r="FC113" s="436">
        <v>46553</v>
      </c>
      <c r="FD113" s="436">
        <v>45238</v>
      </c>
      <c r="FE113" s="436">
        <v>45055</v>
      </c>
      <c r="FF113" s="436">
        <v>45292</v>
      </c>
      <c r="FG113" s="436">
        <v>45461</v>
      </c>
      <c r="FH113" s="436">
        <v>46086</v>
      </c>
      <c r="FI113" s="436">
        <v>44132</v>
      </c>
      <c r="FJ113" s="436">
        <v>44784</v>
      </c>
      <c r="FK113" s="436">
        <v>45662</v>
      </c>
      <c r="FL113" s="436">
        <v>45266</v>
      </c>
      <c r="FM113" s="436">
        <v>45113</v>
      </c>
      <c r="FN113" s="436">
        <v>44258</v>
      </c>
      <c r="FO113" s="436">
        <v>45102</v>
      </c>
      <c r="FP113" s="436">
        <v>45092</v>
      </c>
      <c r="FQ113" s="436">
        <v>44970</v>
      </c>
      <c r="FR113" s="436">
        <v>44040</v>
      </c>
      <c r="FS113" s="436">
        <v>42704</v>
      </c>
      <c r="FT113" s="436">
        <v>43620</v>
      </c>
      <c r="FU113" s="436">
        <v>43051</v>
      </c>
      <c r="FV113" s="436">
        <v>43885</v>
      </c>
      <c r="FW113" s="436">
        <v>42878</v>
      </c>
      <c r="FX113" s="436">
        <v>43863</v>
      </c>
      <c r="FY113" s="436">
        <v>42914</v>
      </c>
      <c r="FZ113" s="436">
        <v>42132</v>
      </c>
      <c r="GA113" s="436">
        <v>43296</v>
      </c>
      <c r="GB113" s="436">
        <v>42181</v>
      </c>
      <c r="GC113" s="436">
        <v>41907</v>
      </c>
      <c r="GD113" s="436">
        <v>42219</v>
      </c>
      <c r="GE113" s="436">
        <v>41750</v>
      </c>
      <c r="GF113" s="436">
        <v>41228</v>
      </c>
      <c r="GG113" s="436">
        <v>41990</v>
      </c>
      <c r="GH113" s="436">
        <v>41246</v>
      </c>
      <c r="GI113" s="436">
        <v>41958</v>
      </c>
      <c r="GJ113" s="436">
        <v>42696</v>
      </c>
      <c r="GK113" s="437">
        <v>41984</v>
      </c>
    </row>
    <row r="116" spans="1:193" ht="15.75" thickBot="1">
      <c r="A116" s="357" t="s">
        <v>330</v>
      </c>
    </row>
    <row r="117" spans="1:193" ht="15.75" thickBot="1">
      <c r="A117" s="26" t="s">
        <v>177</v>
      </c>
      <c r="B117" s="230">
        <v>36892</v>
      </c>
      <c r="C117" s="230">
        <v>36923</v>
      </c>
      <c r="D117" s="230">
        <v>36951</v>
      </c>
      <c r="E117" s="230">
        <v>36982</v>
      </c>
      <c r="F117" s="230">
        <v>37012</v>
      </c>
      <c r="G117" s="230">
        <v>37043</v>
      </c>
      <c r="H117" s="230">
        <v>37073</v>
      </c>
      <c r="I117" s="230">
        <v>37104</v>
      </c>
      <c r="J117" s="230">
        <v>37135</v>
      </c>
      <c r="K117" s="230">
        <v>37165</v>
      </c>
      <c r="L117" s="230">
        <v>37196</v>
      </c>
      <c r="M117" s="230">
        <v>37226</v>
      </c>
      <c r="N117" s="230">
        <v>37257</v>
      </c>
      <c r="O117" s="230">
        <v>37288</v>
      </c>
      <c r="P117" s="230">
        <v>37316</v>
      </c>
      <c r="Q117" s="230">
        <v>37347</v>
      </c>
      <c r="R117" s="230">
        <v>37377</v>
      </c>
      <c r="S117" s="230">
        <v>37408</v>
      </c>
      <c r="T117" s="230">
        <v>37438</v>
      </c>
      <c r="U117" s="230">
        <v>37469</v>
      </c>
      <c r="V117" s="230">
        <v>37500</v>
      </c>
      <c r="W117" s="230">
        <v>37530</v>
      </c>
      <c r="X117" s="230">
        <v>37561</v>
      </c>
      <c r="Y117" s="230">
        <v>37591</v>
      </c>
      <c r="Z117" s="230">
        <v>37622</v>
      </c>
      <c r="AA117" s="230">
        <v>37653</v>
      </c>
      <c r="AB117" s="230">
        <v>37681</v>
      </c>
      <c r="AC117" s="230">
        <v>37712</v>
      </c>
      <c r="AD117" s="230">
        <v>37742</v>
      </c>
      <c r="AE117" s="230">
        <v>37773</v>
      </c>
      <c r="AF117" s="230">
        <v>37803</v>
      </c>
      <c r="AG117" s="230">
        <v>37834</v>
      </c>
      <c r="AH117" s="230">
        <v>37865</v>
      </c>
      <c r="AI117" s="230">
        <v>37895</v>
      </c>
      <c r="AJ117" s="230">
        <v>37926</v>
      </c>
      <c r="AK117" s="230">
        <v>37956</v>
      </c>
      <c r="AL117" s="230">
        <v>37987</v>
      </c>
      <c r="AM117" s="230">
        <v>38018</v>
      </c>
      <c r="AN117" s="230">
        <v>38047</v>
      </c>
      <c r="AO117" s="230">
        <v>38078</v>
      </c>
      <c r="AP117" s="230">
        <v>38108</v>
      </c>
      <c r="AQ117" s="230">
        <v>38139</v>
      </c>
      <c r="AR117" s="230">
        <v>38169</v>
      </c>
      <c r="AS117" s="230">
        <v>38200</v>
      </c>
      <c r="AT117" s="230">
        <v>38231</v>
      </c>
      <c r="AU117" s="230">
        <v>38261</v>
      </c>
      <c r="AV117" s="230">
        <v>38292</v>
      </c>
      <c r="AW117" s="230">
        <v>38322</v>
      </c>
      <c r="AX117" s="230">
        <v>38353</v>
      </c>
      <c r="AY117" s="230">
        <v>38384</v>
      </c>
      <c r="AZ117" s="230">
        <v>38412</v>
      </c>
      <c r="BA117" s="230">
        <v>38443</v>
      </c>
      <c r="BB117" s="230">
        <v>38473</v>
      </c>
      <c r="BC117" s="230">
        <v>38504</v>
      </c>
      <c r="BD117" s="230">
        <v>38534</v>
      </c>
      <c r="BE117" s="230">
        <v>38565</v>
      </c>
      <c r="BF117" s="230">
        <v>38596</v>
      </c>
      <c r="BG117" s="230">
        <v>38626</v>
      </c>
      <c r="BH117" s="230">
        <v>38657</v>
      </c>
      <c r="BI117" s="230">
        <v>38687</v>
      </c>
      <c r="BJ117" s="230">
        <v>38718</v>
      </c>
      <c r="BK117" s="230">
        <v>38749</v>
      </c>
      <c r="BL117" s="230">
        <v>38777</v>
      </c>
      <c r="BM117" s="230">
        <v>38808</v>
      </c>
      <c r="BN117" s="230">
        <v>38838</v>
      </c>
      <c r="BO117" s="230">
        <v>38869</v>
      </c>
      <c r="BP117" s="230">
        <v>38899</v>
      </c>
      <c r="BQ117" s="230">
        <v>38930</v>
      </c>
      <c r="BR117" s="230">
        <v>38961</v>
      </c>
      <c r="BS117" s="230">
        <v>38991</v>
      </c>
      <c r="BT117" s="230">
        <v>39022</v>
      </c>
      <c r="BU117" s="230">
        <v>39052</v>
      </c>
      <c r="BV117" s="230">
        <v>39083</v>
      </c>
      <c r="BW117" s="230">
        <v>39114</v>
      </c>
      <c r="BX117" s="230">
        <v>39142</v>
      </c>
      <c r="BY117" s="230">
        <v>39173</v>
      </c>
      <c r="BZ117" s="230">
        <v>39203</v>
      </c>
      <c r="CA117" s="230">
        <v>39234</v>
      </c>
      <c r="CB117" s="230">
        <v>39264</v>
      </c>
      <c r="CC117" s="230">
        <v>39295</v>
      </c>
      <c r="CD117" s="230">
        <v>39326</v>
      </c>
      <c r="CE117" s="230">
        <v>39356</v>
      </c>
      <c r="CF117" s="438">
        <v>39387</v>
      </c>
      <c r="CG117" s="438">
        <v>39417</v>
      </c>
      <c r="CH117" s="438">
        <v>39448</v>
      </c>
      <c r="CI117" s="438">
        <v>39479</v>
      </c>
      <c r="CJ117" s="438">
        <v>39508</v>
      </c>
      <c r="CK117" s="438">
        <v>39539</v>
      </c>
      <c r="CL117" s="438">
        <v>39569</v>
      </c>
      <c r="CM117" s="438">
        <v>39600</v>
      </c>
      <c r="CN117" s="438">
        <v>39630</v>
      </c>
      <c r="CO117" s="438">
        <v>39661</v>
      </c>
      <c r="CP117" s="438">
        <v>39692</v>
      </c>
      <c r="CQ117" s="438">
        <v>39722</v>
      </c>
      <c r="CR117" s="438">
        <v>39753</v>
      </c>
      <c r="CS117" s="438">
        <v>39783</v>
      </c>
      <c r="CT117" s="438">
        <v>39814</v>
      </c>
      <c r="CU117" s="438">
        <v>39845</v>
      </c>
      <c r="CV117" s="438">
        <v>39873</v>
      </c>
      <c r="CW117" s="438">
        <v>39904</v>
      </c>
      <c r="CX117" s="438">
        <v>39934</v>
      </c>
      <c r="CY117" s="438">
        <v>39965</v>
      </c>
      <c r="CZ117" s="438">
        <v>39995</v>
      </c>
      <c r="DA117" s="438">
        <v>40026</v>
      </c>
      <c r="DB117" s="438">
        <v>40057</v>
      </c>
      <c r="DC117" s="438">
        <v>40087</v>
      </c>
      <c r="DD117" s="438">
        <v>40118</v>
      </c>
      <c r="DE117" s="438">
        <v>40148</v>
      </c>
      <c r="DF117" s="438">
        <v>40179</v>
      </c>
      <c r="DG117" s="438">
        <v>40210</v>
      </c>
      <c r="DH117" s="438">
        <v>40238</v>
      </c>
      <c r="DI117" s="438">
        <v>40269</v>
      </c>
      <c r="DJ117" s="438">
        <v>40299</v>
      </c>
      <c r="DK117" s="438">
        <v>40330</v>
      </c>
      <c r="DL117" s="438">
        <v>40360</v>
      </c>
      <c r="DM117" s="438">
        <v>40391</v>
      </c>
      <c r="DN117" s="438">
        <v>40422</v>
      </c>
      <c r="DO117" s="438">
        <v>40452</v>
      </c>
      <c r="DP117" s="438">
        <v>40483</v>
      </c>
      <c r="DQ117" s="438">
        <v>40513</v>
      </c>
      <c r="DR117" s="438">
        <v>40544</v>
      </c>
      <c r="DS117" s="438">
        <v>40575</v>
      </c>
      <c r="DT117" s="438">
        <v>40603</v>
      </c>
      <c r="DU117" s="438">
        <v>40634</v>
      </c>
      <c r="DV117" s="438">
        <v>40664</v>
      </c>
      <c r="DW117" s="438">
        <v>40695</v>
      </c>
      <c r="DX117" s="438">
        <v>40725</v>
      </c>
      <c r="DY117" s="438">
        <v>40756</v>
      </c>
      <c r="DZ117" s="438">
        <v>40787</v>
      </c>
      <c r="EA117" s="438">
        <v>40817</v>
      </c>
      <c r="EB117" s="438">
        <v>40848</v>
      </c>
      <c r="EC117" s="438">
        <v>40878</v>
      </c>
      <c r="ED117" s="438">
        <v>40909</v>
      </c>
      <c r="EE117" s="438">
        <v>40940</v>
      </c>
      <c r="EF117" s="438">
        <v>40969</v>
      </c>
      <c r="EG117" s="438">
        <v>41000</v>
      </c>
      <c r="EH117" s="438">
        <v>41030</v>
      </c>
      <c r="EI117" s="438">
        <v>41061</v>
      </c>
      <c r="EJ117" s="438">
        <v>41091</v>
      </c>
      <c r="EK117" s="438">
        <v>41122</v>
      </c>
      <c r="EL117" s="438">
        <v>41153</v>
      </c>
      <c r="EM117" s="438">
        <v>41183</v>
      </c>
      <c r="EN117" s="438">
        <v>41214</v>
      </c>
      <c r="EO117" s="438">
        <v>41244</v>
      </c>
      <c r="EP117" s="438">
        <v>41275</v>
      </c>
      <c r="EQ117" s="438">
        <v>41306</v>
      </c>
      <c r="ER117" s="438">
        <v>41334</v>
      </c>
      <c r="ES117" s="438">
        <v>41365</v>
      </c>
      <c r="ET117" s="438">
        <v>41395</v>
      </c>
      <c r="EU117" s="438">
        <v>41426</v>
      </c>
      <c r="EV117" s="438">
        <v>41456</v>
      </c>
      <c r="EW117" s="438">
        <v>41487</v>
      </c>
      <c r="EX117" s="438">
        <v>41518</v>
      </c>
      <c r="EY117" s="438">
        <v>41548</v>
      </c>
      <c r="EZ117" s="438">
        <v>41579</v>
      </c>
      <c r="FA117" s="438">
        <v>41609</v>
      </c>
      <c r="FB117" s="438">
        <v>41640</v>
      </c>
      <c r="FC117" s="438">
        <v>41671</v>
      </c>
      <c r="FD117" s="438">
        <v>41699</v>
      </c>
      <c r="FE117" s="438">
        <v>41730</v>
      </c>
      <c r="FF117" s="438">
        <v>41760</v>
      </c>
      <c r="FG117" s="438">
        <v>41791</v>
      </c>
      <c r="FH117" s="438">
        <v>41821</v>
      </c>
      <c r="FI117" s="438">
        <v>41852</v>
      </c>
      <c r="FJ117" s="438">
        <v>41883</v>
      </c>
      <c r="FK117" s="438">
        <v>41913</v>
      </c>
      <c r="FL117" s="438">
        <v>41944</v>
      </c>
      <c r="FM117" s="438">
        <v>41974</v>
      </c>
      <c r="FN117" s="438">
        <v>42005</v>
      </c>
      <c r="FO117" s="438">
        <v>42036</v>
      </c>
      <c r="FP117" s="438">
        <v>42064</v>
      </c>
      <c r="FQ117" s="438">
        <v>42095</v>
      </c>
      <c r="FR117" s="438">
        <v>42125</v>
      </c>
      <c r="FS117" s="438">
        <v>42156</v>
      </c>
      <c r="FT117" s="438">
        <v>42186</v>
      </c>
      <c r="FU117" s="438">
        <v>42217</v>
      </c>
      <c r="FV117" s="438">
        <v>42248</v>
      </c>
      <c r="FW117" s="438">
        <v>42278</v>
      </c>
      <c r="FX117" s="438">
        <v>42309</v>
      </c>
      <c r="FY117" s="438">
        <v>42339</v>
      </c>
      <c r="FZ117" s="438">
        <v>42370</v>
      </c>
      <c r="GA117" s="438">
        <v>42401</v>
      </c>
      <c r="GB117" s="438">
        <v>42430</v>
      </c>
      <c r="GC117" s="438">
        <v>42461</v>
      </c>
      <c r="GD117" s="438">
        <v>42491</v>
      </c>
      <c r="GE117" s="438">
        <v>42522</v>
      </c>
      <c r="GF117" s="438">
        <v>42552</v>
      </c>
      <c r="GG117" s="438">
        <v>42583</v>
      </c>
      <c r="GH117" s="438">
        <v>42614</v>
      </c>
      <c r="GI117" s="438">
        <v>42644</v>
      </c>
      <c r="GJ117" s="438">
        <v>42675</v>
      </c>
      <c r="GK117" s="438">
        <v>42705</v>
      </c>
    </row>
    <row r="118" spans="1:193">
      <c r="A118" s="231" t="s">
        <v>337</v>
      </c>
      <c r="B118" s="348">
        <v>580</v>
      </c>
      <c r="C118" s="348">
        <v>542</v>
      </c>
      <c r="D118" s="348">
        <v>518</v>
      </c>
      <c r="E118" s="348">
        <v>558</v>
      </c>
      <c r="F118" s="348">
        <v>581</v>
      </c>
      <c r="G118" s="348">
        <v>589</v>
      </c>
      <c r="H118" s="348">
        <v>626</v>
      </c>
      <c r="I118" s="348">
        <v>598</v>
      </c>
      <c r="J118" s="348">
        <v>588</v>
      </c>
      <c r="K118" s="348">
        <v>578</v>
      </c>
      <c r="L118" s="348">
        <v>576</v>
      </c>
      <c r="M118" s="348">
        <v>465</v>
      </c>
      <c r="N118" s="348">
        <v>475</v>
      </c>
      <c r="O118" s="348">
        <v>513</v>
      </c>
      <c r="P118" s="348">
        <v>449</v>
      </c>
      <c r="Q118" s="348">
        <v>521</v>
      </c>
      <c r="R118" s="348">
        <v>597</v>
      </c>
      <c r="S118" s="348">
        <v>534</v>
      </c>
      <c r="T118" s="348">
        <v>534</v>
      </c>
      <c r="U118" s="348">
        <v>559</v>
      </c>
      <c r="V118" s="348">
        <v>510</v>
      </c>
      <c r="W118" s="348">
        <v>636</v>
      </c>
      <c r="X118" s="348">
        <v>729</v>
      </c>
      <c r="Y118" s="348">
        <v>665</v>
      </c>
      <c r="Z118" s="348">
        <v>664</v>
      </c>
      <c r="AA118" s="348">
        <v>644</v>
      </c>
      <c r="AB118" s="348">
        <v>679</v>
      </c>
      <c r="AC118" s="348">
        <v>651</v>
      </c>
      <c r="AD118" s="348">
        <v>693</v>
      </c>
      <c r="AE118" s="348">
        <v>621</v>
      </c>
      <c r="AF118" s="348">
        <v>716</v>
      </c>
      <c r="AG118" s="348">
        <v>697</v>
      </c>
      <c r="AH118" s="348">
        <v>705</v>
      </c>
      <c r="AI118" s="348">
        <v>658</v>
      </c>
      <c r="AJ118" s="348">
        <v>500</v>
      </c>
      <c r="AK118" s="348">
        <v>444</v>
      </c>
      <c r="AL118" s="348">
        <v>450</v>
      </c>
      <c r="AM118" s="348">
        <v>488</v>
      </c>
      <c r="AN118" s="348">
        <v>450</v>
      </c>
      <c r="AO118" s="348">
        <v>428</v>
      </c>
      <c r="AP118" s="348">
        <v>591</v>
      </c>
      <c r="AQ118" s="348">
        <v>599</v>
      </c>
      <c r="AR118" s="348">
        <v>535</v>
      </c>
      <c r="AS118" s="348">
        <v>667</v>
      </c>
      <c r="AT118" s="348">
        <v>693</v>
      </c>
      <c r="AU118" s="348">
        <v>718</v>
      </c>
      <c r="AV118" s="348">
        <v>719</v>
      </c>
      <c r="AW118" s="348">
        <v>741</v>
      </c>
      <c r="AX118" s="348">
        <v>604</v>
      </c>
      <c r="AY118" s="348">
        <v>787</v>
      </c>
      <c r="AZ118" s="348">
        <v>681</v>
      </c>
      <c r="BA118" s="348">
        <v>687</v>
      </c>
      <c r="BB118" s="348">
        <v>716</v>
      </c>
      <c r="BC118" s="348">
        <v>897</v>
      </c>
      <c r="BD118" s="348">
        <v>1072</v>
      </c>
      <c r="BE118" s="348">
        <v>1217</v>
      </c>
      <c r="BF118" s="348">
        <v>1120</v>
      </c>
      <c r="BG118" s="348">
        <v>1274</v>
      </c>
      <c r="BH118" s="348">
        <v>1269</v>
      </c>
      <c r="BI118" s="348">
        <v>1318</v>
      </c>
      <c r="BJ118" s="348">
        <v>1447</v>
      </c>
      <c r="BK118" s="348">
        <v>1204</v>
      </c>
      <c r="BL118" s="348">
        <v>1218</v>
      </c>
      <c r="BM118" s="348">
        <v>1136</v>
      </c>
      <c r="BN118" s="348">
        <v>1137</v>
      </c>
      <c r="BO118" s="348">
        <v>1360</v>
      </c>
      <c r="BP118" s="348">
        <v>1334</v>
      </c>
      <c r="BQ118" s="348">
        <v>1401</v>
      </c>
      <c r="BR118" s="348">
        <v>1593</v>
      </c>
      <c r="BS118" s="348">
        <v>1523</v>
      </c>
      <c r="BT118" s="348">
        <v>1573</v>
      </c>
      <c r="BU118" s="348">
        <v>1254</v>
      </c>
      <c r="BV118" s="348">
        <v>1281</v>
      </c>
      <c r="BW118" s="348">
        <v>1295</v>
      </c>
      <c r="BX118" s="348">
        <v>1466</v>
      </c>
      <c r="BY118" s="348">
        <v>1281</v>
      </c>
      <c r="BZ118" s="348">
        <v>1287</v>
      </c>
      <c r="CA118" s="348">
        <v>1234</v>
      </c>
      <c r="CB118" s="348">
        <v>1171</v>
      </c>
      <c r="CC118" s="348">
        <v>1433</v>
      </c>
      <c r="CD118" s="348">
        <v>1301</v>
      </c>
      <c r="CE118" s="348">
        <v>1390</v>
      </c>
      <c r="CF118" s="441">
        <v>1409</v>
      </c>
      <c r="CG118" s="441">
        <v>1315</v>
      </c>
      <c r="CH118" s="441">
        <v>1334</v>
      </c>
      <c r="CI118" s="441">
        <v>1377</v>
      </c>
      <c r="CJ118" s="441">
        <v>1490</v>
      </c>
      <c r="CK118" s="441">
        <v>1479</v>
      </c>
      <c r="CL118" s="441">
        <v>1386</v>
      </c>
      <c r="CM118" s="441">
        <v>1381</v>
      </c>
      <c r="CN118" s="441">
        <v>1530</v>
      </c>
      <c r="CO118" s="441">
        <v>991</v>
      </c>
      <c r="CP118" s="441">
        <v>1223</v>
      </c>
      <c r="CQ118" s="441">
        <v>1352</v>
      </c>
      <c r="CR118" s="441">
        <v>1277</v>
      </c>
      <c r="CS118" s="441">
        <v>1098</v>
      </c>
      <c r="CT118" s="441">
        <v>866</v>
      </c>
      <c r="CU118" s="441">
        <v>656</v>
      </c>
      <c r="CV118" s="441">
        <v>698</v>
      </c>
      <c r="CW118" s="441">
        <v>658</v>
      </c>
      <c r="CX118" s="441">
        <v>762</v>
      </c>
      <c r="CY118" s="441">
        <v>711</v>
      </c>
      <c r="CZ118" s="441">
        <v>822</v>
      </c>
      <c r="DA118" s="441">
        <v>780</v>
      </c>
      <c r="DB118" s="441">
        <v>849</v>
      </c>
      <c r="DC118" s="441">
        <v>979</v>
      </c>
      <c r="DD118" s="441">
        <v>937</v>
      </c>
      <c r="DE118" s="441">
        <v>942</v>
      </c>
      <c r="DF118" s="441">
        <v>957</v>
      </c>
      <c r="DG118" s="441">
        <v>1241</v>
      </c>
      <c r="DH118" s="441">
        <v>1405</v>
      </c>
      <c r="DI118" s="441">
        <v>1421</v>
      </c>
      <c r="DJ118" s="441">
        <v>1443</v>
      </c>
      <c r="DK118" s="441">
        <v>1414</v>
      </c>
      <c r="DL118" s="441">
        <v>1399</v>
      </c>
      <c r="DM118" s="441">
        <v>1327</v>
      </c>
      <c r="DN118" s="441">
        <v>1512</v>
      </c>
      <c r="DO118" s="441">
        <v>1377</v>
      </c>
      <c r="DP118" s="441">
        <v>1200</v>
      </c>
      <c r="DQ118" s="441">
        <v>1143</v>
      </c>
      <c r="DR118" s="441">
        <v>1125</v>
      </c>
      <c r="DS118" s="441">
        <v>1120</v>
      </c>
      <c r="DT118" s="441">
        <v>1421</v>
      </c>
      <c r="DU118" s="441">
        <v>1546</v>
      </c>
      <c r="DV118" s="441">
        <v>1489</v>
      </c>
      <c r="DW118" s="441">
        <v>1484</v>
      </c>
      <c r="DX118" s="441">
        <v>1420</v>
      </c>
      <c r="DY118" s="441">
        <v>1627</v>
      </c>
      <c r="DZ118" s="441">
        <v>1684</v>
      </c>
      <c r="EA118" s="441">
        <v>1548</v>
      </c>
      <c r="EB118" s="441">
        <v>1803</v>
      </c>
      <c r="EC118" s="441">
        <v>1728</v>
      </c>
      <c r="ED118" s="441">
        <v>1811</v>
      </c>
      <c r="EE118" s="441">
        <v>1730</v>
      </c>
      <c r="EF118" s="441">
        <v>1778</v>
      </c>
      <c r="EG118" s="441">
        <v>1936</v>
      </c>
      <c r="EH118" s="441">
        <v>1755</v>
      </c>
      <c r="EI118" s="441">
        <v>1911</v>
      </c>
      <c r="EJ118" s="441">
        <v>1871</v>
      </c>
      <c r="EK118" s="441">
        <v>1899</v>
      </c>
      <c r="EL118" s="441">
        <v>1898</v>
      </c>
      <c r="EM118" s="441">
        <v>1769</v>
      </c>
      <c r="EN118" s="441">
        <v>1576</v>
      </c>
      <c r="EO118" s="441">
        <v>1331</v>
      </c>
      <c r="EP118" s="441">
        <v>1371</v>
      </c>
      <c r="EQ118" s="441">
        <v>1565</v>
      </c>
      <c r="ER118" s="441">
        <v>1670</v>
      </c>
      <c r="ES118" s="441">
        <v>1596</v>
      </c>
      <c r="ET118" s="441">
        <v>1613</v>
      </c>
      <c r="EU118" s="441">
        <v>1457</v>
      </c>
      <c r="EV118" s="441">
        <v>1707</v>
      </c>
      <c r="EW118" s="441">
        <v>1663</v>
      </c>
      <c r="EX118" s="441">
        <v>1520</v>
      </c>
      <c r="EY118" s="441">
        <v>1547</v>
      </c>
      <c r="EZ118" s="441">
        <v>1405</v>
      </c>
      <c r="FA118" s="441">
        <v>1559</v>
      </c>
      <c r="FB118" s="441">
        <v>1387</v>
      </c>
      <c r="FC118" s="441">
        <v>1513</v>
      </c>
      <c r="FD118" s="441">
        <v>1616</v>
      </c>
      <c r="FE118" s="441">
        <v>1343</v>
      </c>
      <c r="FF118" s="441">
        <v>1407</v>
      </c>
      <c r="FG118" s="441">
        <v>1189</v>
      </c>
      <c r="FH118" s="441">
        <v>1307</v>
      </c>
      <c r="FI118" s="441">
        <v>1562</v>
      </c>
      <c r="FJ118" s="441">
        <v>1431</v>
      </c>
      <c r="FK118" s="441">
        <v>1435</v>
      </c>
      <c r="FL118" s="441">
        <v>1589</v>
      </c>
      <c r="FM118" s="441">
        <v>1544</v>
      </c>
      <c r="FN118" s="441">
        <v>1497</v>
      </c>
      <c r="FO118" s="441">
        <v>1570</v>
      </c>
      <c r="FP118" s="441">
        <v>1574</v>
      </c>
      <c r="FQ118" s="441">
        <v>1592</v>
      </c>
      <c r="FR118" s="441">
        <v>1603</v>
      </c>
      <c r="FS118" s="441">
        <v>1367</v>
      </c>
      <c r="FT118" s="441">
        <v>1722</v>
      </c>
      <c r="FU118" s="441">
        <v>1513</v>
      </c>
      <c r="FV118" s="441">
        <v>1405</v>
      </c>
      <c r="FW118" s="441">
        <v>1543</v>
      </c>
      <c r="FX118" s="441">
        <v>1347</v>
      </c>
      <c r="FY118" s="441">
        <v>1353</v>
      </c>
      <c r="FZ118" s="441">
        <v>1404</v>
      </c>
      <c r="GA118" s="441">
        <v>1527</v>
      </c>
      <c r="GB118" s="441">
        <v>1462</v>
      </c>
      <c r="GC118" s="441">
        <v>1166</v>
      </c>
      <c r="GD118" s="441">
        <v>1412</v>
      </c>
      <c r="GE118" s="441">
        <v>1324</v>
      </c>
      <c r="GF118" s="441">
        <v>1336</v>
      </c>
      <c r="GG118" s="441">
        <v>1394</v>
      </c>
      <c r="GH118" s="441">
        <v>1313</v>
      </c>
      <c r="GI118" s="441">
        <v>1477</v>
      </c>
      <c r="GJ118" s="441">
        <v>1150</v>
      </c>
      <c r="GK118" s="430">
        <v>1407</v>
      </c>
    </row>
    <row r="119" spans="1:193">
      <c r="A119" s="231" t="s">
        <v>240</v>
      </c>
      <c r="B119" s="442">
        <v>1663</v>
      </c>
      <c r="C119" s="442">
        <v>1356</v>
      </c>
      <c r="D119" s="442">
        <v>1667</v>
      </c>
      <c r="E119" s="442">
        <v>1459</v>
      </c>
      <c r="F119" s="442">
        <v>1678</v>
      </c>
      <c r="G119" s="442">
        <v>1935</v>
      </c>
      <c r="H119" s="442">
        <v>1907</v>
      </c>
      <c r="I119" s="442">
        <v>1763</v>
      </c>
      <c r="J119" s="442">
        <v>1748</v>
      </c>
      <c r="K119" s="442">
        <v>1769</v>
      </c>
      <c r="L119" s="442">
        <v>1733</v>
      </c>
      <c r="M119" s="442">
        <v>2334</v>
      </c>
      <c r="N119" s="442">
        <v>1552</v>
      </c>
      <c r="O119" s="442">
        <v>1699</v>
      </c>
      <c r="P119" s="442">
        <v>1689</v>
      </c>
      <c r="Q119" s="442">
        <v>1776</v>
      </c>
      <c r="R119" s="442">
        <v>1798</v>
      </c>
      <c r="S119" s="442">
        <v>1820</v>
      </c>
      <c r="T119" s="442">
        <v>2025</v>
      </c>
      <c r="U119" s="442">
        <v>1732</v>
      </c>
      <c r="V119" s="442">
        <v>1799</v>
      </c>
      <c r="W119" s="442">
        <v>1895</v>
      </c>
      <c r="X119" s="442">
        <v>1935</v>
      </c>
      <c r="Y119" s="442">
        <v>1899</v>
      </c>
      <c r="Z119" s="442">
        <v>2129</v>
      </c>
      <c r="AA119" s="442">
        <v>2025</v>
      </c>
      <c r="AB119" s="442">
        <v>2071</v>
      </c>
      <c r="AC119" s="442">
        <v>2133</v>
      </c>
      <c r="AD119" s="442">
        <v>2028</v>
      </c>
      <c r="AE119" s="442">
        <v>2154</v>
      </c>
      <c r="AF119" s="442">
        <v>2302</v>
      </c>
      <c r="AG119" s="442">
        <v>2269</v>
      </c>
      <c r="AH119" s="442">
        <v>1944</v>
      </c>
      <c r="AI119" s="442">
        <v>2442</v>
      </c>
      <c r="AJ119" s="442">
        <v>2461</v>
      </c>
      <c r="AK119" s="442">
        <v>2297</v>
      </c>
      <c r="AL119" s="442">
        <v>2322</v>
      </c>
      <c r="AM119" s="442">
        <v>2417</v>
      </c>
      <c r="AN119" s="442">
        <v>2741</v>
      </c>
      <c r="AO119" s="442">
        <v>2382</v>
      </c>
      <c r="AP119" s="442">
        <v>2487</v>
      </c>
      <c r="AQ119" s="442">
        <v>2687</v>
      </c>
      <c r="AR119" s="442">
        <v>3012</v>
      </c>
      <c r="AS119" s="442">
        <v>2749</v>
      </c>
      <c r="AT119" s="442">
        <v>2839</v>
      </c>
      <c r="AU119" s="442">
        <v>2956</v>
      </c>
      <c r="AV119" s="442">
        <v>3155</v>
      </c>
      <c r="AW119" s="442">
        <v>3883</v>
      </c>
      <c r="AX119" s="442">
        <v>3501</v>
      </c>
      <c r="AY119" s="442">
        <v>3679</v>
      </c>
      <c r="AZ119" s="442">
        <v>4450</v>
      </c>
      <c r="BA119" s="442">
        <v>4814</v>
      </c>
      <c r="BB119" s="442">
        <v>4914</v>
      </c>
      <c r="BC119" s="442">
        <v>4626</v>
      </c>
      <c r="BD119" s="442">
        <v>4873</v>
      </c>
      <c r="BE119" s="442">
        <v>4951</v>
      </c>
      <c r="BF119" s="442">
        <v>5091</v>
      </c>
      <c r="BG119" s="442">
        <v>5154</v>
      </c>
      <c r="BH119" s="442">
        <v>5449</v>
      </c>
      <c r="BI119" s="442">
        <v>5066</v>
      </c>
      <c r="BJ119" s="442">
        <v>4048</v>
      </c>
      <c r="BK119" s="442">
        <v>4956</v>
      </c>
      <c r="BL119" s="442">
        <v>5396</v>
      </c>
      <c r="BM119" s="442">
        <v>3314</v>
      </c>
      <c r="BN119" s="442">
        <v>4732</v>
      </c>
      <c r="BO119" s="442">
        <v>3567</v>
      </c>
      <c r="BP119" s="442">
        <v>3148</v>
      </c>
      <c r="BQ119" s="442">
        <v>3266</v>
      </c>
      <c r="BR119" s="442">
        <v>3019</v>
      </c>
      <c r="BS119" s="442">
        <v>3082</v>
      </c>
      <c r="BT119" s="442">
        <v>3314</v>
      </c>
      <c r="BU119" s="442">
        <v>3138</v>
      </c>
      <c r="BV119" s="442">
        <v>3162</v>
      </c>
      <c r="BW119" s="442">
        <v>3596</v>
      </c>
      <c r="BX119" s="442">
        <v>3494</v>
      </c>
      <c r="BY119" s="442">
        <v>2803</v>
      </c>
      <c r="BZ119" s="442">
        <v>3393</v>
      </c>
      <c r="CA119" s="442">
        <v>3319</v>
      </c>
      <c r="CB119" s="442">
        <v>3269</v>
      </c>
      <c r="CC119" s="442">
        <v>3267</v>
      </c>
      <c r="CD119" s="442">
        <v>2613</v>
      </c>
      <c r="CE119" s="442">
        <v>3221</v>
      </c>
      <c r="CF119" s="442">
        <v>2963</v>
      </c>
      <c r="CG119" s="442">
        <v>2773</v>
      </c>
      <c r="CH119" s="442">
        <v>3021</v>
      </c>
      <c r="CI119" s="442">
        <v>3085</v>
      </c>
      <c r="CJ119" s="442">
        <v>2800</v>
      </c>
      <c r="CK119" s="442">
        <v>2729</v>
      </c>
      <c r="CL119" s="442">
        <v>2666</v>
      </c>
      <c r="CM119" s="442">
        <v>2902</v>
      </c>
      <c r="CN119" s="442">
        <v>2737</v>
      </c>
      <c r="CO119" s="442">
        <v>2786</v>
      </c>
      <c r="CP119" s="442">
        <v>2875</v>
      </c>
      <c r="CQ119" s="442">
        <v>3022</v>
      </c>
      <c r="CR119" s="442">
        <v>3055</v>
      </c>
      <c r="CS119" s="442">
        <v>2817</v>
      </c>
      <c r="CT119" s="442">
        <v>2868</v>
      </c>
      <c r="CU119" s="442">
        <v>3605</v>
      </c>
      <c r="CV119" s="442">
        <v>3144</v>
      </c>
      <c r="CW119" s="442">
        <v>2972</v>
      </c>
      <c r="CX119" s="442">
        <v>2901</v>
      </c>
      <c r="CY119" s="442">
        <v>2920</v>
      </c>
      <c r="CZ119" s="442">
        <v>3055</v>
      </c>
      <c r="DA119" s="442">
        <v>2955</v>
      </c>
      <c r="DB119" s="442">
        <v>3398</v>
      </c>
      <c r="DC119" s="442">
        <v>3301</v>
      </c>
      <c r="DD119" s="442">
        <v>3761</v>
      </c>
      <c r="DE119" s="442">
        <v>3328</v>
      </c>
      <c r="DF119" s="442">
        <v>3620</v>
      </c>
      <c r="DG119" s="442">
        <v>3856</v>
      </c>
      <c r="DH119" s="442">
        <v>3888</v>
      </c>
      <c r="DI119" s="442">
        <v>3510</v>
      </c>
      <c r="DJ119" s="442">
        <v>3946</v>
      </c>
      <c r="DK119" s="442">
        <v>4172</v>
      </c>
      <c r="DL119" s="442">
        <v>4542</v>
      </c>
      <c r="DM119" s="442">
        <v>4629</v>
      </c>
      <c r="DN119" s="442">
        <v>4872</v>
      </c>
      <c r="DO119" s="442">
        <v>5184</v>
      </c>
      <c r="DP119" s="442">
        <v>5795</v>
      </c>
      <c r="DQ119" s="442">
        <v>4837</v>
      </c>
      <c r="DR119" s="442">
        <v>4961</v>
      </c>
      <c r="DS119" s="442">
        <v>6500</v>
      </c>
      <c r="DT119" s="442">
        <v>6531</v>
      </c>
      <c r="DU119" s="442">
        <v>5493</v>
      </c>
      <c r="DV119" s="442">
        <v>6531</v>
      </c>
      <c r="DW119" s="442">
        <v>6459</v>
      </c>
      <c r="DX119" s="442">
        <v>6224</v>
      </c>
      <c r="DY119" s="442">
        <v>6122</v>
      </c>
      <c r="DZ119" s="442">
        <v>5653</v>
      </c>
      <c r="EA119" s="442">
        <v>5753</v>
      </c>
      <c r="EB119" s="442">
        <v>5714</v>
      </c>
      <c r="EC119" s="442">
        <v>4259</v>
      </c>
      <c r="ED119" s="442">
        <v>4074</v>
      </c>
      <c r="EE119" s="442">
        <v>4235</v>
      </c>
      <c r="EF119" s="442">
        <v>4432</v>
      </c>
      <c r="EG119" s="442">
        <v>4261</v>
      </c>
      <c r="EH119" s="442">
        <v>2927</v>
      </c>
      <c r="EI119" s="442">
        <v>2046</v>
      </c>
      <c r="EJ119" s="442">
        <v>2539</v>
      </c>
      <c r="EK119" s="442">
        <v>2319</v>
      </c>
      <c r="EL119" s="442">
        <v>2075</v>
      </c>
      <c r="EM119" s="442">
        <v>2187</v>
      </c>
      <c r="EN119" s="442">
        <v>2368</v>
      </c>
      <c r="EO119" s="442">
        <v>2001</v>
      </c>
      <c r="EP119" s="442">
        <v>2058</v>
      </c>
      <c r="EQ119" s="442">
        <v>2409</v>
      </c>
      <c r="ER119" s="442">
        <v>2187</v>
      </c>
      <c r="ES119" s="442">
        <v>2186</v>
      </c>
      <c r="ET119" s="442">
        <v>2240</v>
      </c>
      <c r="EU119" s="442">
        <v>1987</v>
      </c>
      <c r="EV119" s="442">
        <v>2205</v>
      </c>
      <c r="EW119" s="442">
        <v>2028</v>
      </c>
      <c r="EX119" s="442">
        <v>1869</v>
      </c>
      <c r="EY119" s="442">
        <v>2108</v>
      </c>
      <c r="EZ119" s="442">
        <v>2235</v>
      </c>
      <c r="FA119" s="442">
        <v>2007</v>
      </c>
      <c r="FB119" s="442">
        <v>2144</v>
      </c>
      <c r="FC119" s="442">
        <v>2465</v>
      </c>
      <c r="FD119" s="442">
        <v>2477</v>
      </c>
      <c r="FE119" s="442">
        <v>2252</v>
      </c>
      <c r="FF119" s="442">
        <v>2187</v>
      </c>
      <c r="FG119" s="442">
        <v>2221</v>
      </c>
      <c r="FH119" s="442">
        <v>2227</v>
      </c>
      <c r="FI119" s="442">
        <v>2057</v>
      </c>
      <c r="FJ119" s="442">
        <v>2070</v>
      </c>
      <c r="FK119" s="442">
        <v>2246</v>
      </c>
      <c r="FL119" s="442">
        <v>2391</v>
      </c>
      <c r="FM119" s="442">
        <v>2304</v>
      </c>
      <c r="FN119" s="442">
        <v>2185</v>
      </c>
      <c r="FO119" s="442">
        <v>2506</v>
      </c>
      <c r="FP119" s="442">
        <v>2406</v>
      </c>
      <c r="FQ119" s="442">
        <v>2420</v>
      </c>
      <c r="FR119" s="442">
        <v>2493</v>
      </c>
      <c r="FS119" s="442">
        <v>2543</v>
      </c>
      <c r="FT119" s="442">
        <v>2836</v>
      </c>
      <c r="FU119" s="442">
        <v>2550</v>
      </c>
      <c r="FV119" s="442">
        <v>2211</v>
      </c>
      <c r="FW119" s="442">
        <v>2392</v>
      </c>
      <c r="FX119" s="442">
        <v>2570</v>
      </c>
      <c r="FY119" s="442">
        <v>2098</v>
      </c>
      <c r="FZ119" s="442">
        <v>2041</v>
      </c>
      <c r="GA119" s="442">
        <v>2061</v>
      </c>
      <c r="GB119" s="442">
        <v>1891</v>
      </c>
      <c r="GC119" s="442">
        <v>1853</v>
      </c>
      <c r="GD119" s="442">
        <v>2046</v>
      </c>
      <c r="GE119" s="442">
        <v>1805</v>
      </c>
      <c r="GF119" s="442">
        <v>1648</v>
      </c>
      <c r="GG119" s="442">
        <v>1725</v>
      </c>
      <c r="GH119" s="442">
        <v>1845</v>
      </c>
      <c r="GI119" s="442">
        <v>2042</v>
      </c>
      <c r="GJ119" s="442">
        <v>1830</v>
      </c>
      <c r="GK119" s="431">
        <v>1964</v>
      </c>
    </row>
    <row r="120" spans="1:193">
      <c r="A120" s="231" t="s">
        <v>243</v>
      </c>
      <c r="B120" s="348">
        <v>39</v>
      </c>
      <c r="C120" s="348">
        <v>65</v>
      </c>
      <c r="D120" s="348">
        <v>57</v>
      </c>
      <c r="E120" s="348">
        <v>38</v>
      </c>
      <c r="F120" s="348">
        <v>54</v>
      </c>
      <c r="G120" s="348">
        <v>47</v>
      </c>
      <c r="H120" s="348">
        <v>59</v>
      </c>
      <c r="I120" s="348">
        <v>79</v>
      </c>
      <c r="J120" s="348">
        <v>39</v>
      </c>
      <c r="K120" s="348">
        <v>38</v>
      </c>
      <c r="L120" s="348">
        <v>40</v>
      </c>
      <c r="M120" s="348">
        <v>35</v>
      </c>
      <c r="N120" s="348">
        <v>28</v>
      </c>
      <c r="O120" s="348">
        <v>28</v>
      </c>
      <c r="P120" s="348">
        <v>39</v>
      </c>
      <c r="Q120" s="348">
        <v>28</v>
      </c>
      <c r="R120" s="348">
        <v>30</v>
      </c>
      <c r="S120" s="348">
        <v>49</v>
      </c>
      <c r="T120" s="348">
        <v>30</v>
      </c>
      <c r="U120" s="348">
        <v>36</v>
      </c>
      <c r="V120" s="348">
        <v>44</v>
      </c>
      <c r="W120" s="348">
        <v>46</v>
      </c>
      <c r="X120" s="348">
        <v>37</v>
      </c>
      <c r="Y120" s="348">
        <v>24</v>
      </c>
      <c r="Z120" s="348">
        <v>34</v>
      </c>
      <c r="AA120" s="348">
        <v>30</v>
      </c>
      <c r="AB120" s="348">
        <v>33</v>
      </c>
      <c r="AC120" s="348">
        <v>39</v>
      </c>
      <c r="AD120" s="348">
        <v>60</v>
      </c>
      <c r="AE120" s="348">
        <v>59</v>
      </c>
      <c r="AF120" s="348">
        <v>41</v>
      </c>
      <c r="AG120" s="348">
        <v>45</v>
      </c>
      <c r="AH120" s="348">
        <v>46</v>
      </c>
      <c r="AI120" s="348">
        <v>42</v>
      </c>
      <c r="AJ120" s="348">
        <v>51</v>
      </c>
      <c r="AK120" s="348">
        <v>58</v>
      </c>
      <c r="AL120" s="348">
        <v>28</v>
      </c>
      <c r="AM120" s="348">
        <v>36</v>
      </c>
      <c r="AN120" s="348">
        <v>26</v>
      </c>
      <c r="AO120" s="348">
        <v>106</v>
      </c>
      <c r="AP120" s="348">
        <v>62</v>
      </c>
      <c r="AQ120" s="348">
        <v>71</v>
      </c>
      <c r="AR120" s="348">
        <v>162</v>
      </c>
      <c r="AS120" s="348">
        <v>64</v>
      </c>
      <c r="AT120" s="348">
        <v>62</v>
      </c>
      <c r="AU120" s="348">
        <v>32</v>
      </c>
      <c r="AV120" s="348">
        <v>26</v>
      </c>
      <c r="AW120" s="348">
        <v>47</v>
      </c>
      <c r="AX120" s="348">
        <v>77</v>
      </c>
      <c r="AY120" s="348">
        <v>102</v>
      </c>
      <c r="AZ120" s="348">
        <v>56</v>
      </c>
      <c r="BA120" s="348">
        <v>40</v>
      </c>
      <c r="BB120" s="348">
        <v>66</v>
      </c>
      <c r="BC120" s="348">
        <v>73</v>
      </c>
      <c r="BD120" s="348">
        <v>74</v>
      </c>
      <c r="BE120" s="348">
        <v>79</v>
      </c>
      <c r="BF120" s="348">
        <v>54</v>
      </c>
      <c r="BG120" s="348">
        <v>60</v>
      </c>
      <c r="BH120" s="348">
        <v>63</v>
      </c>
      <c r="BI120" s="348">
        <v>55</v>
      </c>
      <c r="BJ120" s="348">
        <v>37</v>
      </c>
      <c r="BK120" s="348">
        <v>44</v>
      </c>
      <c r="BL120" s="348">
        <v>55</v>
      </c>
      <c r="BM120" s="348">
        <v>48</v>
      </c>
      <c r="BN120" s="348">
        <v>45</v>
      </c>
      <c r="BO120" s="348">
        <v>49</v>
      </c>
      <c r="BP120" s="348">
        <v>56</v>
      </c>
      <c r="BQ120" s="348">
        <v>56</v>
      </c>
      <c r="BR120" s="348">
        <v>63</v>
      </c>
      <c r="BS120" s="348">
        <v>58</v>
      </c>
      <c r="BT120" s="348">
        <v>64</v>
      </c>
      <c r="BU120" s="348">
        <v>52</v>
      </c>
      <c r="BV120" s="348">
        <v>66</v>
      </c>
      <c r="BW120" s="348">
        <v>77</v>
      </c>
      <c r="BX120" s="348">
        <v>56</v>
      </c>
      <c r="BY120" s="348">
        <v>71</v>
      </c>
      <c r="BZ120" s="348">
        <v>71</v>
      </c>
      <c r="CA120" s="348">
        <v>152</v>
      </c>
      <c r="CB120" s="348">
        <v>173</v>
      </c>
      <c r="CC120" s="348">
        <v>182</v>
      </c>
      <c r="CD120" s="348">
        <v>178</v>
      </c>
      <c r="CE120" s="348">
        <v>91</v>
      </c>
      <c r="CF120" s="441">
        <v>323</v>
      </c>
      <c r="CG120" s="441">
        <v>99</v>
      </c>
      <c r="CH120" s="441">
        <v>165</v>
      </c>
      <c r="CI120" s="441">
        <v>190</v>
      </c>
      <c r="CJ120" s="441">
        <v>139</v>
      </c>
      <c r="CK120" s="441">
        <v>145</v>
      </c>
      <c r="CL120" s="441">
        <v>183</v>
      </c>
      <c r="CM120" s="441">
        <v>149</v>
      </c>
      <c r="CN120" s="441">
        <v>193</v>
      </c>
      <c r="CO120" s="441">
        <v>216</v>
      </c>
      <c r="CP120" s="441">
        <v>191</v>
      </c>
      <c r="CQ120" s="441">
        <v>171</v>
      </c>
      <c r="CR120" s="441">
        <v>124</v>
      </c>
      <c r="CS120" s="441">
        <v>120</v>
      </c>
      <c r="CT120" s="441">
        <v>155</v>
      </c>
      <c r="CU120" s="441">
        <v>134</v>
      </c>
      <c r="CV120" s="441">
        <v>125</v>
      </c>
      <c r="CW120" s="441">
        <v>78</v>
      </c>
      <c r="CX120" s="441">
        <v>103</v>
      </c>
      <c r="CY120" s="441">
        <v>132</v>
      </c>
      <c r="CZ120" s="441">
        <v>120</v>
      </c>
      <c r="DA120" s="441">
        <v>123</v>
      </c>
      <c r="DB120" s="441">
        <v>151</v>
      </c>
      <c r="DC120" s="441">
        <v>164</v>
      </c>
      <c r="DD120" s="441">
        <v>199</v>
      </c>
      <c r="DE120" s="441">
        <v>286</v>
      </c>
      <c r="DF120" s="441">
        <v>272</v>
      </c>
      <c r="DG120" s="441">
        <v>225</v>
      </c>
      <c r="DH120" s="441">
        <v>214</v>
      </c>
      <c r="DI120" s="441">
        <v>165</v>
      </c>
      <c r="DJ120" s="441">
        <v>182</v>
      </c>
      <c r="DK120" s="441">
        <v>268</v>
      </c>
      <c r="DL120" s="441">
        <v>166</v>
      </c>
      <c r="DM120" s="441">
        <v>422</v>
      </c>
      <c r="DN120" s="441">
        <v>460</v>
      </c>
      <c r="DO120" s="441">
        <v>254</v>
      </c>
      <c r="DP120" s="441">
        <v>266</v>
      </c>
      <c r="DQ120" s="441">
        <v>230</v>
      </c>
      <c r="DR120" s="441">
        <v>188</v>
      </c>
      <c r="DS120" s="441">
        <v>184</v>
      </c>
      <c r="DT120" s="441">
        <v>212</v>
      </c>
      <c r="DU120" s="441">
        <v>200</v>
      </c>
      <c r="DV120" s="441">
        <v>176</v>
      </c>
      <c r="DW120" s="441">
        <v>165</v>
      </c>
      <c r="DX120" s="441">
        <v>18</v>
      </c>
      <c r="DY120" s="441">
        <v>104</v>
      </c>
      <c r="DZ120" s="441">
        <v>118</v>
      </c>
      <c r="EA120" s="441">
        <v>94</v>
      </c>
      <c r="EB120" s="441">
        <v>62</v>
      </c>
      <c r="EC120" s="441">
        <v>41</v>
      </c>
      <c r="ED120" s="441">
        <v>26</v>
      </c>
      <c r="EE120" s="441">
        <v>24</v>
      </c>
      <c r="EF120" s="441">
        <v>56</v>
      </c>
      <c r="EG120" s="441">
        <v>48</v>
      </c>
      <c r="EH120" s="441">
        <v>46</v>
      </c>
      <c r="EI120" s="441">
        <v>30</v>
      </c>
      <c r="EJ120" s="441">
        <v>39</v>
      </c>
      <c r="EK120" s="441">
        <v>25</v>
      </c>
      <c r="EL120" s="441">
        <v>27</v>
      </c>
      <c r="EM120" s="441">
        <v>35</v>
      </c>
      <c r="EN120" s="441">
        <v>52</v>
      </c>
      <c r="EO120" s="441">
        <v>39</v>
      </c>
      <c r="EP120" s="441">
        <v>61</v>
      </c>
      <c r="EQ120" s="441">
        <v>44</v>
      </c>
      <c r="ER120" s="441">
        <v>49</v>
      </c>
      <c r="ES120" s="441">
        <v>31</v>
      </c>
      <c r="ET120" s="441">
        <v>34</v>
      </c>
      <c r="EU120" s="441">
        <v>34</v>
      </c>
      <c r="EV120" s="441">
        <v>32</v>
      </c>
      <c r="EW120" s="441">
        <v>53</v>
      </c>
      <c r="EX120" s="441">
        <v>44</v>
      </c>
      <c r="EY120" s="441">
        <v>36</v>
      </c>
      <c r="EZ120" s="441">
        <v>60</v>
      </c>
      <c r="FA120" s="441">
        <v>182</v>
      </c>
      <c r="FB120" s="441">
        <v>31</v>
      </c>
      <c r="FC120" s="441">
        <v>251</v>
      </c>
      <c r="FD120" s="441">
        <v>247</v>
      </c>
      <c r="FE120" s="441">
        <v>869</v>
      </c>
      <c r="FF120" s="441">
        <v>594</v>
      </c>
      <c r="FG120" s="441">
        <v>438</v>
      </c>
      <c r="FH120" s="441">
        <v>810</v>
      </c>
      <c r="FI120" s="441">
        <v>794</v>
      </c>
      <c r="FJ120" s="441">
        <v>719</v>
      </c>
      <c r="FK120" s="441">
        <v>994</v>
      </c>
      <c r="FL120" s="441">
        <v>682</v>
      </c>
      <c r="FM120" s="441">
        <v>184</v>
      </c>
      <c r="FN120" s="441">
        <v>190</v>
      </c>
      <c r="FO120" s="441">
        <v>198</v>
      </c>
      <c r="FP120" s="441">
        <v>316</v>
      </c>
      <c r="FQ120" s="441">
        <v>441</v>
      </c>
      <c r="FR120" s="441">
        <v>590</v>
      </c>
      <c r="FS120" s="441">
        <v>498</v>
      </c>
      <c r="FT120" s="441">
        <v>536</v>
      </c>
      <c r="FU120" s="441">
        <v>421</v>
      </c>
      <c r="FV120" s="441">
        <v>421</v>
      </c>
      <c r="FW120" s="441">
        <v>549</v>
      </c>
      <c r="FX120" s="441">
        <v>708</v>
      </c>
      <c r="FY120" s="441">
        <v>682</v>
      </c>
      <c r="FZ120" s="441">
        <v>498</v>
      </c>
      <c r="GA120" s="441">
        <v>505</v>
      </c>
      <c r="GB120" s="441">
        <v>259</v>
      </c>
      <c r="GC120" s="441">
        <v>680</v>
      </c>
      <c r="GD120" s="441">
        <v>575</v>
      </c>
      <c r="GE120" s="441">
        <v>607</v>
      </c>
      <c r="GF120" s="441">
        <v>625</v>
      </c>
      <c r="GG120" s="441">
        <v>505</v>
      </c>
      <c r="GH120" s="441">
        <v>608</v>
      </c>
      <c r="GI120" s="441">
        <v>625</v>
      </c>
      <c r="GJ120" s="441">
        <v>630</v>
      </c>
      <c r="GK120" s="430">
        <v>656</v>
      </c>
    </row>
    <row r="121" spans="1:193">
      <c r="A121" s="231" t="s">
        <v>245</v>
      </c>
      <c r="B121" s="442">
        <v>204</v>
      </c>
      <c r="C121" s="442">
        <v>265</v>
      </c>
      <c r="D121" s="442">
        <v>236</v>
      </c>
      <c r="E121" s="442">
        <v>228</v>
      </c>
      <c r="F121" s="442">
        <v>233</v>
      </c>
      <c r="G121" s="442">
        <v>278</v>
      </c>
      <c r="H121" s="442">
        <v>225</v>
      </c>
      <c r="I121" s="442">
        <v>237</v>
      </c>
      <c r="J121" s="442">
        <v>237</v>
      </c>
      <c r="K121" s="442">
        <v>230</v>
      </c>
      <c r="L121" s="442">
        <v>264</v>
      </c>
      <c r="M121" s="442">
        <v>244</v>
      </c>
      <c r="N121" s="442">
        <v>277</v>
      </c>
      <c r="O121" s="442">
        <v>288</v>
      </c>
      <c r="P121" s="442">
        <v>258</v>
      </c>
      <c r="Q121" s="442">
        <v>108</v>
      </c>
      <c r="R121" s="442">
        <v>116</v>
      </c>
      <c r="S121" s="442">
        <v>109</v>
      </c>
      <c r="T121" s="442">
        <v>100</v>
      </c>
      <c r="U121" s="442">
        <v>90</v>
      </c>
      <c r="V121" s="442">
        <v>102</v>
      </c>
      <c r="W121" s="442">
        <v>114</v>
      </c>
      <c r="X121" s="442">
        <v>119</v>
      </c>
      <c r="Y121" s="442">
        <v>107</v>
      </c>
      <c r="Z121" s="442">
        <v>117</v>
      </c>
      <c r="AA121" s="442">
        <v>127</v>
      </c>
      <c r="AB121" s="442">
        <v>131</v>
      </c>
      <c r="AC121" s="442">
        <v>105</v>
      </c>
      <c r="AD121" s="442">
        <v>108</v>
      </c>
      <c r="AE121" s="442">
        <v>83</v>
      </c>
      <c r="AF121" s="442">
        <v>105</v>
      </c>
      <c r="AG121" s="442">
        <v>116</v>
      </c>
      <c r="AH121" s="442">
        <v>122</v>
      </c>
      <c r="AI121" s="442">
        <v>99</v>
      </c>
      <c r="AJ121" s="442">
        <v>101</v>
      </c>
      <c r="AK121" s="442">
        <v>99</v>
      </c>
      <c r="AL121" s="442">
        <v>98</v>
      </c>
      <c r="AM121" s="442">
        <v>69</v>
      </c>
      <c r="AN121" s="442">
        <v>88</v>
      </c>
      <c r="AO121" s="442">
        <v>99</v>
      </c>
      <c r="AP121" s="442">
        <v>107</v>
      </c>
      <c r="AQ121" s="442">
        <v>113</v>
      </c>
      <c r="AR121" s="442">
        <v>126</v>
      </c>
      <c r="AS121" s="442">
        <v>96</v>
      </c>
      <c r="AT121" s="442">
        <v>108</v>
      </c>
      <c r="AU121" s="442">
        <v>99</v>
      </c>
      <c r="AV121" s="442">
        <v>116</v>
      </c>
      <c r="AW121" s="442">
        <v>120</v>
      </c>
      <c r="AX121" s="442">
        <v>116</v>
      </c>
      <c r="AY121" s="442">
        <v>120</v>
      </c>
      <c r="AZ121" s="442">
        <v>114</v>
      </c>
      <c r="BA121" s="442">
        <v>113</v>
      </c>
      <c r="BB121" s="442">
        <v>127</v>
      </c>
      <c r="BC121" s="442">
        <v>122</v>
      </c>
      <c r="BD121" s="442">
        <v>142</v>
      </c>
      <c r="BE121" s="442">
        <v>137</v>
      </c>
      <c r="BF121" s="442">
        <v>130</v>
      </c>
      <c r="BG121" s="442">
        <v>155</v>
      </c>
      <c r="BH121" s="442">
        <v>151</v>
      </c>
      <c r="BI121" s="442">
        <v>121</v>
      </c>
      <c r="BJ121" s="442">
        <v>122</v>
      </c>
      <c r="BK121" s="442">
        <v>149</v>
      </c>
      <c r="BL121" s="442">
        <v>140</v>
      </c>
      <c r="BM121" s="442">
        <v>118</v>
      </c>
      <c r="BN121" s="442">
        <v>142</v>
      </c>
      <c r="BO121" s="442">
        <v>156</v>
      </c>
      <c r="BP121" s="442">
        <v>167</v>
      </c>
      <c r="BQ121" s="442">
        <v>157</v>
      </c>
      <c r="BR121" s="442">
        <v>170</v>
      </c>
      <c r="BS121" s="442">
        <v>196</v>
      </c>
      <c r="BT121" s="442">
        <v>208</v>
      </c>
      <c r="BU121" s="442">
        <v>173</v>
      </c>
      <c r="BV121" s="442">
        <v>180</v>
      </c>
      <c r="BW121" s="442">
        <v>191</v>
      </c>
      <c r="BX121" s="442">
        <v>215</v>
      </c>
      <c r="BY121" s="442">
        <v>199</v>
      </c>
      <c r="BZ121" s="442">
        <v>223</v>
      </c>
      <c r="CA121" s="442">
        <v>238</v>
      </c>
      <c r="CB121" s="442">
        <v>221</v>
      </c>
      <c r="CC121" s="442">
        <v>234</v>
      </c>
      <c r="CD121" s="442">
        <v>241</v>
      </c>
      <c r="CE121" s="442">
        <v>266</v>
      </c>
      <c r="CF121" s="442">
        <v>241</v>
      </c>
      <c r="CG121" s="442">
        <v>247</v>
      </c>
      <c r="CH121" s="442">
        <v>237</v>
      </c>
      <c r="CI121" s="442">
        <v>250</v>
      </c>
      <c r="CJ121" s="442">
        <v>267</v>
      </c>
      <c r="CK121" s="442">
        <v>278</v>
      </c>
      <c r="CL121" s="442">
        <v>264</v>
      </c>
      <c r="CM121" s="442">
        <v>306</v>
      </c>
      <c r="CN121" s="442">
        <v>303</v>
      </c>
      <c r="CO121" s="442">
        <v>280</v>
      </c>
      <c r="CP121" s="442">
        <v>283</v>
      </c>
      <c r="CQ121" s="442">
        <v>325</v>
      </c>
      <c r="CR121" s="442">
        <v>289</v>
      </c>
      <c r="CS121" s="442">
        <v>292</v>
      </c>
      <c r="CT121" s="442">
        <v>291</v>
      </c>
      <c r="CU121" s="442">
        <v>264</v>
      </c>
      <c r="CV121" s="442">
        <v>287</v>
      </c>
      <c r="CW121" s="442">
        <v>276</v>
      </c>
      <c r="CX121" s="442">
        <v>292</v>
      </c>
      <c r="CY121" s="442">
        <v>266</v>
      </c>
      <c r="CZ121" s="442">
        <v>256</v>
      </c>
      <c r="DA121" s="442">
        <v>265</v>
      </c>
      <c r="DB121" s="442">
        <v>228</v>
      </c>
      <c r="DC121" s="442">
        <v>249</v>
      </c>
      <c r="DD121" s="442">
        <v>260</v>
      </c>
      <c r="DE121" s="442">
        <v>240</v>
      </c>
      <c r="DF121" s="442">
        <v>255</v>
      </c>
      <c r="DG121" s="442">
        <v>287</v>
      </c>
      <c r="DH121" s="442">
        <v>282</v>
      </c>
      <c r="DI121" s="442">
        <v>253</v>
      </c>
      <c r="DJ121" s="442">
        <v>300</v>
      </c>
      <c r="DK121" s="442">
        <v>320</v>
      </c>
      <c r="DL121" s="442">
        <v>414</v>
      </c>
      <c r="DM121" s="442">
        <v>392</v>
      </c>
      <c r="DN121" s="442">
        <v>406</v>
      </c>
      <c r="DO121" s="442">
        <v>304</v>
      </c>
      <c r="DP121" s="442">
        <v>320</v>
      </c>
      <c r="DQ121" s="442">
        <v>319</v>
      </c>
      <c r="DR121" s="442">
        <v>299</v>
      </c>
      <c r="DS121" s="442">
        <v>308</v>
      </c>
      <c r="DT121" s="442">
        <v>349</v>
      </c>
      <c r="DU121" s="442">
        <v>330</v>
      </c>
      <c r="DV121" s="442">
        <v>320</v>
      </c>
      <c r="DW121" s="442">
        <v>317</v>
      </c>
      <c r="DX121" s="442">
        <v>356</v>
      </c>
      <c r="DY121" s="442">
        <v>406</v>
      </c>
      <c r="DZ121" s="442">
        <v>470</v>
      </c>
      <c r="EA121" s="442">
        <v>478</v>
      </c>
      <c r="EB121" s="442">
        <v>509</v>
      </c>
      <c r="EC121" s="442">
        <v>439</v>
      </c>
      <c r="ED121" s="442">
        <v>483</v>
      </c>
      <c r="EE121" s="442">
        <v>476</v>
      </c>
      <c r="EF121" s="442">
        <v>547</v>
      </c>
      <c r="EG121" s="442">
        <v>541</v>
      </c>
      <c r="EH121" s="442">
        <v>525</v>
      </c>
      <c r="EI121" s="442">
        <v>509</v>
      </c>
      <c r="EJ121" s="442">
        <v>467</v>
      </c>
      <c r="EK121" s="442">
        <v>434</v>
      </c>
      <c r="EL121" s="442">
        <v>437</v>
      </c>
      <c r="EM121" s="442">
        <v>504</v>
      </c>
      <c r="EN121" s="442">
        <v>485</v>
      </c>
      <c r="EO121" s="442">
        <v>426</v>
      </c>
      <c r="EP121" s="442">
        <v>397</v>
      </c>
      <c r="EQ121" s="442">
        <v>443</v>
      </c>
      <c r="ER121" s="442">
        <v>478</v>
      </c>
      <c r="ES121" s="442">
        <v>426</v>
      </c>
      <c r="ET121" s="442">
        <v>447</v>
      </c>
      <c r="EU121" s="442">
        <v>419</v>
      </c>
      <c r="EV121" s="442">
        <v>396</v>
      </c>
      <c r="EW121" s="442">
        <v>438</v>
      </c>
      <c r="EX121" s="442">
        <v>505</v>
      </c>
      <c r="EY121" s="442">
        <v>506</v>
      </c>
      <c r="EZ121" s="442">
        <v>539</v>
      </c>
      <c r="FA121" s="442">
        <v>463</v>
      </c>
      <c r="FB121" s="442">
        <v>516</v>
      </c>
      <c r="FC121" s="442">
        <v>551</v>
      </c>
      <c r="FD121" s="442">
        <v>556</v>
      </c>
      <c r="FE121" s="442">
        <v>516</v>
      </c>
      <c r="FF121" s="442">
        <v>676</v>
      </c>
      <c r="FG121" s="442">
        <v>654</v>
      </c>
      <c r="FH121" s="442">
        <v>1194</v>
      </c>
      <c r="FI121" s="442">
        <v>1164</v>
      </c>
      <c r="FJ121" s="442">
        <v>774</v>
      </c>
      <c r="FK121" s="442">
        <v>848</v>
      </c>
      <c r="FL121" s="442">
        <v>818</v>
      </c>
      <c r="FM121" s="442">
        <v>711</v>
      </c>
      <c r="FN121" s="442">
        <v>660</v>
      </c>
      <c r="FO121" s="442">
        <v>693</v>
      </c>
      <c r="FP121" s="442">
        <v>731</v>
      </c>
      <c r="FQ121" s="442">
        <v>978</v>
      </c>
      <c r="FR121" s="442">
        <v>846</v>
      </c>
      <c r="FS121" s="442">
        <v>887</v>
      </c>
      <c r="FT121" s="442">
        <v>803</v>
      </c>
      <c r="FU121" s="442">
        <v>847</v>
      </c>
      <c r="FV121" s="442">
        <v>830</v>
      </c>
      <c r="FW121" s="442">
        <v>1002</v>
      </c>
      <c r="FX121" s="442">
        <v>1179</v>
      </c>
      <c r="FY121" s="442">
        <v>919</v>
      </c>
      <c r="FZ121" s="442">
        <v>923</v>
      </c>
      <c r="GA121" s="442">
        <v>1050</v>
      </c>
      <c r="GB121" s="442">
        <v>1010</v>
      </c>
      <c r="GC121" s="442">
        <v>1067</v>
      </c>
      <c r="GD121" s="442">
        <v>1173</v>
      </c>
      <c r="GE121" s="442">
        <v>1155</v>
      </c>
      <c r="GF121" s="442">
        <v>1012</v>
      </c>
      <c r="GG121" s="442">
        <v>1679</v>
      </c>
      <c r="GH121" s="442">
        <v>1406</v>
      </c>
      <c r="GI121" s="442">
        <v>1648</v>
      </c>
      <c r="GJ121" s="442">
        <v>1746</v>
      </c>
      <c r="GK121" s="431">
        <v>526</v>
      </c>
    </row>
    <row r="122" spans="1:193">
      <c r="A122" s="231" t="s">
        <v>242</v>
      </c>
      <c r="B122" s="348">
        <v>426</v>
      </c>
      <c r="C122" s="348">
        <v>384</v>
      </c>
      <c r="D122" s="348">
        <v>361</v>
      </c>
      <c r="E122" s="348">
        <v>442</v>
      </c>
      <c r="F122" s="348">
        <v>385</v>
      </c>
      <c r="G122" s="348">
        <v>561</v>
      </c>
      <c r="H122" s="348">
        <v>417</v>
      </c>
      <c r="I122" s="348">
        <v>440</v>
      </c>
      <c r="J122" s="348">
        <v>348</v>
      </c>
      <c r="K122" s="348">
        <v>423</v>
      </c>
      <c r="L122" s="348">
        <v>530</v>
      </c>
      <c r="M122" s="348">
        <v>595</v>
      </c>
      <c r="N122" s="348">
        <v>570</v>
      </c>
      <c r="O122" s="348">
        <v>480</v>
      </c>
      <c r="P122" s="348">
        <v>408</v>
      </c>
      <c r="Q122" s="348">
        <v>464</v>
      </c>
      <c r="R122" s="348">
        <v>428</v>
      </c>
      <c r="S122" s="348">
        <v>472</v>
      </c>
      <c r="T122" s="348">
        <v>452</v>
      </c>
      <c r="U122" s="348">
        <v>514</v>
      </c>
      <c r="V122" s="348">
        <v>420</v>
      </c>
      <c r="W122" s="348">
        <v>580</v>
      </c>
      <c r="X122" s="348">
        <v>587</v>
      </c>
      <c r="Y122" s="348">
        <v>503</v>
      </c>
      <c r="Z122" s="348">
        <v>394</v>
      </c>
      <c r="AA122" s="348">
        <v>384</v>
      </c>
      <c r="AB122" s="348">
        <v>457</v>
      </c>
      <c r="AC122" s="348">
        <v>444</v>
      </c>
      <c r="AD122" s="348">
        <v>494</v>
      </c>
      <c r="AE122" s="348">
        <v>451</v>
      </c>
      <c r="AF122" s="348">
        <v>612</v>
      </c>
      <c r="AG122" s="348">
        <v>500</v>
      </c>
      <c r="AH122" s="348">
        <v>600</v>
      </c>
      <c r="AI122" s="348">
        <v>501</v>
      </c>
      <c r="AJ122" s="348">
        <v>497</v>
      </c>
      <c r="AK122" s="348">
        <v>482</v>
      </c>
      <c r="AL122" s="348">
        <v>520</v>
      </c>
      <c r="AM122" s="348">
        <v>504</v>
      </c>
      <c r="AN122" s="348">
        <v>570</v>
      </c>
      <c r="AO122" s="348">
        <v>703</v>
      </c>
      <c r="AP122" s="348">
        <v>911</v>
      </c>
      <c r="AQ122" s="348">
        <v>581</v>
      </c>
      <c r="AR122" s="348">
        <v>603</v>
      </c>
      <c r="AS122" s="348">
        <v>967</v>
      </c>
      <c r="AT122" s="348">
        <v>675</v>
      </c>
      <c r="AU122" s="348">
        <v>594</v>
      </c>
      <c r="AV122" s="348">
        <v>734</v>
      </c>
      <c r="AW122" s="348">
        <v>627</v>
      </c>
      <c r="AX122" s="348">
        <v>755</v>
      </c>
      <c r="AY122" s="348">
        <v>640</v>
      </c>
      <c r="AZ122" s="348">
        <v>598</v>
      </c>
      <c r="BA122" s="348">
        <v>621</v>
      </c>
      <c r="BB122" s="348">
        <v>682</v>
      </c>
      <c r="BC122" s="348">
        <v>657</v>
      </c>
      <c r="BD122" s="348">
        <v>697</v>
      </c>
      <c r="BE122" s="348">
        <v>645</v>
      </c>
      <c r="BF122" s="348">
        <v>634</v>
      </c>
      <c r="BG122" s="348">
        <v>645</v>
      </c>
      <c r="BH122" s="348">
        <v>602</v>
      </c>
      <c r="BI122" s="348">
        <v>597</v>
      </c>
      <c r="BJ122" s="348">
        <v>635</v>
      </c>
      <c r="BK122" s="348">
        <v>583</v>
      </c>
      <c r="BL122" s="348">
        <v>663</v>
      </c>
      <c r="BM122" s="348">
        <v>694</v>
      </c>
      <c r="BN122" s="348">
        <v>729</v>
      </c>
      <c r="BO122" s="348">
        <v>628</v>
      </c>
      <c r="BP122" s="348">
        <v>828</v>
      </c>
      <c r="BQ122" s="348">
        <v>782</v>
      </c>
      <c r="BR122" s="348">
        <v>852</v>
      </c>
      <c r="BS122" s="348">
        <v>1003</v>
      </c>
      <c r="BT122" s="348">
        <v>915</v>
      </c>
      <c r="BU122" s="348">
        <v>834</v>
      </c>
      <c r="BV122" s="348">
        <v>874</v>
      </c>
      <c r="BW122" s="348">
        <v>863</v>
      </c>
      <c r="BX122" s="348">
        <v>827</v>
      </c>
      <c r="BY122" s="348">
        <v>836</v>
      </c>
      <c r="BZ122" s="348">
        <v>871</v>
      </c>
      <c r="CA122" s="348">
        <v>848</v>
      </c>
      <c r="CB122" s="348">
        <v>1041</v>
      </c>
      <c r="CC122" s="348">
        <v>925</v>
      </c>
      <c r="CD122" s="348">
        <v>996</v>
      </c>
      <c r="CE122" s="348">
        <v>1046</v>
      </c>
      <c r="CF122" s="441">
        <v>1097</v>
      </c>
      <c r="CG122" s="441">
        <v>1234</v>
      </c>
      <c r="CH122" s="441">
        <v>1282</v>
      </c>
      <c r="CI122" s="441">
        <v>1256</v>
      </c>
      <c r="CJ122" s="441">
        <v>1133</v>
      </c>
      <c r="CK122" s="441">
        <v>1106</v>
      </c>
      <c r="CL122" s="441">
        <v>1083</v>
      </c>
      <c r="CM122" s="441">
        <v>1283</v>
      </c>
      <c r="CN122" s="441">
        <v>1194</v>
      </c>
      <c r="CO122" s="441">
        <v>1308</v>
      </c>
      <c r="CP122" s="441">
        <v>1269</v>
      </c>
      <c r="CQ122" s="441">
        <v>1463</v>
      </c>
      <c r="CR122" s="441">
        <v>1271</v>
      </c>
      <c r="CS122" s="441">
        <v>1450</v>
      </c>
      <c r="CT122" s="441">
        <v>853</v>
      </c>
      <c r="CU122" s="441">
        <v>807</v>
      </c>
      <c r="CV122" s="441">
        <v>680</v>
      </c>
      <c r="CW122" s="441">
        <v>654</v>
      </c>
      <c r="CX122" s="441">
        <v>563</v>
      </c>
      <c r="CY122" s="441">
        <v>533</v>
      </c>
      <c r="CZ122" s="441">
        <v>541</v>
      </c>
      <c r="DA122" s="441">
        <v>453</v>
      </c>
      <c r="DB122" s="441">
        <v>491</v>
      </c>
      <c r="DC122" s="441">
        <v>493</v>
      </c>
      <c r="DD122" s="441">
        <v>717</v>
      </c>
      <c r="DE122" s="441">
        <v>603</v>
      </c>
      <c r="DF122" s="441">
        <v>572</v>
      </c>
      <c r="DG122" s="441">
        <v>617</v>
      </c>
      <c r="DH122" s="441">
        <v>681</v>
      </c>
      <c r="DI122" s="441">
        <v>728</v>
      </c>
      <c r="DJ122" s="441">
        <v>757</v>
      </c>
      <c r="DK122" s="441">
        <v>757</v>
      </c>
      <c r="DL122" s="441">
        <v>793</v>
      </c>
      <c r="DM122" s="441">
        <v>869</v>
      </c>
      <c r="DN122" s="441">
        <v>934</v>
      </c>
      <c r="DO122" s="441">
        <v>1001</v>
      </c>
      <c r="DP122" s="441">
        <v>1018</v>
      </c>
      <c r="DQ122" s="441">
        <v>1066</v>
      </c>
      <c r="DR122" s="441">
        <v>1066</v>
      </c>
      <c r="DS122" s="441">
        <v>1018</v>
      </c>
      <c r="DT122" s="441">
        <v>1002</v>
      </c>
      <c r="DU122" s="441">
        <v>1086</v>
      </c>
      <c r="DV122" s="441">
        <v>1180</v>
      </c>
      <c r="DW122" s="441">
        <v>1138</v>
      </c>
      <c r="DX122" s="441">
        <v>1133</v>
      </c>
      <c r="DY122" s="441">
        <v>1333</v>
      </c>
      <c r="DZ122" s="441">
        <v>1411</v>
      </c>
      <c r="EA122" s="441">
        <v>1467</v>
      </c>
      <c r="EB122" s="441">
        <v>1701</v>
      </c>
      <c r="EC122" s="441">
        <v>1652</v>
      </c>
      <c r="ED122" s="441">
        <v>1500</v>
      </c>
      <c r="EE122" s="441">
        <v>1715</v>
      </c>
      <c r="EF122" s="441">
        <v>1561</v>
      </c>
      <c r="EG122" s="441">
        <v>1538</v>
      </c>
      <c r="EH122" s="441">
        <v>1664</v>
      </c>
      <c r="EI122" s="441">
        <v>1615</v>
      </c>
      <c r="EJ122" s="441">
        <v>1736</v>
      </c>
      <c r="EK122" s="441">
        <v>1826</v>
      </c>
      <c r="EL122" s="441">
        <v>1779</v>
      </c>
      <c r="EM122" s="441">
        <v>1898</v>
      </c>
      <c r="EN122" s="441">
        <v>1991</v>
      </c>
      <c r="EO122" s="441">
        <v>1792</v>
      </c>
      <c r="EP122" s="441">
        <v>1698</v>
      </c>
      <c r="EQ122" s="441">
        <v>1505</v>
      </c>
      <c r="ER122" s="441">
        <v>1319</v>
      </c>
      <c r="ES122" s="441">
        <v>1385</v>
      </c>
      <c r="ET122" s="441">
        <v>1266</v>
      </c>
      <c r="EU122" s="441">
        <v>1231</v>
      </c>
      <c r="EV122" s="441">
        <v>1154</v>
      </c>
      <c r="EW122" s="441">
        <v>1017</v>
      </c>
      <c r="EX122" s="441">
        <v>820</v>
      </c>
      <c r="EY122" s="441">
        <v>876</v>
      </c>
      <c r="EZ122" s="441">
        <v>850</v>
      </c>
      <c r="FA122" s="441">
        <v>745</v>
      </c>
      <c r="FB122" s="441">
        <v>815</v>
      </c>
      <c r="FC122" s="441">
        <v>851</v>
      </c>
      <c r="FD122" s="441">
        <v>797</v>
      </c>
      <c r="FE122" s="441">
        <v>904</v>
      </c>
      <c r="FF122" s="441">
        <v>926</v>
      </c>
      <c r="FG122" s="441">
        <v>913</v>
      </c>
      <c r="FH122" s="441">
        <v>907</v>
      </c>
      <c r="FI122" s="441">
        <v>827</v>
      </c>
      <c r="FJ122" s="441">
        <v>648</v>
      </c>
      <c r="FK122" s="441">
        <v>697</v>
      </c>
      <c r="FL122" s="441">
        <v>777</v>
      </c>
      <c r="FM122" s="441">
        <v>671</v>
      </c>
      <c r="FN122" s="441">
        <v>587</v>
      </c>
      <c r="FO122" s="441">
        <v>602</v>
      </c>
      <c r="FP122" s="441">
        <v>619</v>
      </c>
      <c r="FQ122" s="441">
        <v>574</v>
      </c>
      <c r="FR122" s="441">
        <v>750</v>
      </c>
      <c r="FS122" s="441">
        <v>675</v>
      </c>
      <c r="FT122" s="441">
        <v>561</v>
      </c>
      <c r="FU122" s="441">
        <v>526</v>
      </c>
      <c r="FV122" s="441">
        <v>500</v>
      </c>
      <c r="FW122" s="441">
        <v>532</v>
      </c>
      <c r="FX122" s="441">
        <v>518</v>
      </c>
      <c r="FY122" s="441">
        <v>399</v>
      </c>
      <c r="FZ122" s="441">
        <v>437</v>
      </c>
      <c r="GA122" s="441">
        <v>468</v>
      </c>
      <c r="GB122" s="441">
        <v>487</v>
      </c>
      <c r="GC122" s="441">
        <v>345</v>
      </c>
      <c r="GD122" s="441">
        <v>457</v>
      </c>
      <c r="GE122" s="441">
        <v>433</v>
      </c>
      <c r="GF122" s="441">
        <v>327</v>
      </c>
      <c r="GG122" s="441">
        <v>414</v>
      </c>
      <c r="GH122" s="441">
        <v>436</v>
      </c>
      <c r="GI122" s="441">
        <v>442</v>
      </c>
      <c r="GJ122" s="441">
        <v>530</v>
      </c>
      <c r="GK122" s="430">
        <v>519</v>
      </c>
    </row>
    <row r="123" spans="1:193">
      <c r="A123" s="231" t="s">
        <v>15</v>
      </c>
      <c r="B123" s="442">
        <v>8010</v>
      </c>
      <c r="C123" s="442">
        <v>7651</v>
      </c>
      <c r="D123" s="442">
        <v>8061</v>
      </c>
      <c r="E123" s="442">
        <v>8106</v>
      </c>
      <c r="F123" s="442">
        <v>8091</v>
      </c>
      <c r="G123" s="442">
        <v>8589</v>
      </c>
      <c r="H123" s="442">
        <v>8359</v>
      </c>
      <c r="I123" s="442">
        <v>8461</v>
      </c>
      <c r="J123" s="442">
        <v>8184</v>
      </c>
      <c r="K123" s="442">
        <v>8613</v>
      </c>
      <c r="L123" s="442">
        <v>8037</v>
      </c>
      <c r="M123" s="442">
        <v>8930</v>
      </c>
      <c r="N123" s="442">
        <v>9273</v>
      </c>
      <c r="O123" s="442">
        <v>9445</v>
      </c>
      <c r="P123" s="442">
        <v>8335</v>
      </c>
      <c r="Q123" s="442">
        <v>9307</v>
      </c>
      <c r="R123" s="442">
        <v>8471</v>
      </c>
      <c r="S123" s="442">
        <v>8489</v>
      </c>
      <c r="T123" s="442">
        <v>10300</v>
      </c>
      <c r="U123" s="442">
        <v>8807</v>
      </c>
      <c r="V123" s="442">
        <v>8982</v>
      </c>
      <c r="W123" s="442">
        <v>8676</v>
      </c>
      <c r="X123" s="442">
        <v>8813</v>
      </c>
      <c r="Y123" s="442">
        <v>8381</v>
      </c>
      <c r="Z123" s="442">
        <v>8798</v>
      </c>
      <c r="AA123" s="442">
        <v>8402</v>
      </c>
      <c r="AB123" s="442">
        <v>9141</v>
      </c>
      <c r="AC123" s="442">
        <v>8405</v>
      </c>
      <c r="AD123" s="442">
        <v>8464</v>
      </c>
      <c r="AE123" s="442">
        <v>8551</v>
      </c>
      <c r="AF123" s="442">
        <v>8843</v>
      </c>
      <c r="AG123" s="442">
        <v>8378</v>
      </c>
      <c r="AH123" s="442">
        <v>8490</v>
      </c>
      <c r="AI123" s="442">
        <v>8750</v>
      </c>
      <c r="AJ123" s="442">
        <v>9079</v>
      </c>
      <c r="AK123" s="442">
        <v>8977</v>
      </c>
      <c r="AL123" s="442">
        <v>8512</v>
      </c>
      <c r="AM123" s="442">
        <v>9740</v>
      </c>
      <c r="AN123" s="442">
        <v>9330</v>
      </c>
      <c r="AO123" s="442">
        <v>9177</v>
      </c>
      <c r="AP123" s="442">
        <v>9323</v>
      </c>
      <c r="AQ123" s="442">
        <v>9128</v>
      </c>
      <c r="AR123" s="442">
        <v>9138</v>
      </c>
      <c r="AS123" s="442">
        <v>8995</v>
      </c>
      <c r="AT123" s="442">
        <v>8520</v>
      </c>
      <c r="AU123" s="442">
        <v>8537</v>
      </c>
      <c r="AV123" s="442">
        <v>8677</v>
      </c>
      <c r="AW123" s="442">
        <v>8592</v>
      </c>
      <c r="AX123" s="442">
        <v>7938</v>
      </c>
      <c r="AY123" s="442">
        <v>8174</v>
      </c>
      <c r="AZ123" s="442">
        <v>8274</v>
      </c>
      <c r="BA123" s="442">
        <v>8129</v>
      </c>
      <c r="BB123" s="442">
        <v>8188</v>
      </c>
      <c r="BC123" s="442">
        <v>7768</v>
      </c>
      <c r="BD123" s="442">
        <v>7845</v>
      </c>
      <c r="BE123" s="442">
        <v>8482</v>
      </c>
      <c r="BF123" s="442">
        <v>7947</v>
      </c>
      <c r="BG123" s="442">
        <v>7848</v>
      </c>
      <c r="BH123" s="442">
        <v>7988</v>
      </c>
      <c r="BI123" s="442">
        <v>7687</v>
      </c>
      <c r="BJ123" s="442">
        <v>7035</v>
      </c>
      <c r="BK123" s="442">
        <v>7567</v>
      </c>
      <c r="BL123" s="442">
        <v>7234</v>
      </c>
      <c r="BM123" s="442">
        <v>7998</v>
      </c>
      <c r="BN123" s="442">
        <v>8242</v>
      </c>
      <c r="BO123" s="442">
        <v>7636</v>
      </c>
      <c r="BP123" s="442">
        <v>8130</v>
      </c>
      <c r="BQ123" s="442">
        <v>7768</v>
      </c>
      <c r="BR123" s="442">
        <v>8081</v>
      </c>
      <c r="BS123" s="442">
        <v>7773</v>
      </c>
      <c r="BT123" s="442">
        <v>8420</v>
      </c>
      <c r="BU123" s="442">
        <v>7825</v>
      </c>
      <c r="BV123" s="442">
        <v>8648</v>
      </c>
      <c r="BW123" s="442">
        <v>8663</v>
      </c>
      <c r="BX123" s="442">
        <v>8825</v>
      </c>
      <c r="BY123" s="442">
        <v>8699</v>
      </c>
      <c r="BZ123" s="442">
        <v>9378</v>
      </c>
      <c r="CA123" s="442">
        <v>8708</v>
      </c>
      <c r="CB123" s="442">
        <v>8916</v>
      </c>
      <c r="CC123" s="442">
        <v>9173</v>
      </c>
      <c r="CD123" s="442">
        <v>9121</v>
      </c>
      <c r="CE123" s="442">
        <v>8889</v>
      </c>
      <c r="CF123" s="442">
        <v>9315</v>
      </c>
      <c r="CG123" s="442">
        <v>8055</v>
      </c>
      <c r="CH123" s="442">
        <v>8267</v>
      </c>
      <c r="CI123" s="442">
        <v>8822</v>
      </c>
      <c r="CJ123" s="442">
        <v>9380</v>
      </c>
      <c r="CK123" s="442">
        <v>9766</v>
      </c>
      <c r="CL123" s="442">
        <v>9722</v>
      </c>
      <c r="CM123" s="442">
        <v>9438</v>
      </c>
      <c r="CN123" s="442">
        <v>9549</v>
      </c>
      <c r="CO123" s="442">
        <v>9396</v>
      </c>
      <c r="CP123" s="442">
        <v>9782</v>
      </c>
      <c r="CQ123" s="442">
        <v>10213</v>
      </c>
      <c r="CR123" s="442">
        <v>10084</v>
      </c>
      <c r="CS123" s="442">
        <v>9807</v>
      </c>
      <c r="CT123" s="442">
        <v>10380</v>
      </c>
      <c r="CU123" s="442">
        <v>11272</v>
      </c>
      <c r="CV123" s="442">
        <v>10990</v>
      </c>
      <c r="CW123" s="442">
        <v>11018</v>
      </c>
      <c r="CX123" s="442">
        <v>11218</v>
      </c>
      <c r="CY123" s="442">
        <v>11362</v>
      </c>
      <c r="CZ123" s="442">
        <v>11073</v>
      </c>
      <c r="DA123" s="442">
        <v>10262</v>
      </c>
      <c r="DB123" s="442">
        <v>10923</v>
      </c>
      <c r="DC123" s="442">
        <v>11678</v>
      </c>
      <c r="DD123" s="442">
        <v>9805</v>
      </c>
      <c r="DE123" s="442">
        <v>10385</v>
      </c>
      <c r="DF123" s="442">
        <v>8930</v>
      </c>
      <c r="DG123" s="442">
        <v>10871</v>
      </c>
      <c r="DH123" s="442">
        <v>11904</v>
      </c>
      <c r="DI123" s="442">
        <v>11483</v>
      </c>
      <c r="DJ123" s="442">
        <v>11843</v>
      </c>
      <c r="DK123" s="442">
        <v>11216</v>
      </c>
      <c r="DL123" s="442">
        <v>11998</v>
      </c>
      <c r="DM123" s="442">
        <v>11872</v>
      </c>
      <c r="DN123" s="442">
        <v>11810</v>
      </c>
      <c r="DO123" s="442">
        <v>11380</v>
      </c>
      <c r="DP123" s="442">
        <v>12157</v>
      </c>
      <c r="DQ123" s="442">
        <v>10525</v>
      </c>
      <c r="DR123" s="442">
        <v>11564</v>
      </c>
      <c r="DS123" s="442">
        <v>11399</v>
      </c>
      <c r="DT123" s="442">
        <v>12347</v>
      </c>
      <c r="DU123" s="442">
        <v>12189</v>
      </c>
      <c r="DV123" s="442">
        <v>13026</v>
      </c>
      <c r="DW123" s="442">
        <v>12107</v>
      </c>
      <c r="DX123" s="442">
        <v>13042</v>
      </c>
      <c r="DY123" s="442">
        <v>13164</v>
      </c>
      <c r="DZ123" s="442">
        <v>14018</v>
      </c>
      <c r="EA123" s="442">
        <v>14246</v>
      </c>
      <c r="EB123" s="442">
        <v>14894</v>
      </c>
      <c r="EC123" s="442">
        <v>13469</v>
      </c>
      <c r="ED123" s="442">
        <v>13570</v>
      </c>
      <c r="EE123" s="442">
        <v>13985</v>
      </c>
      <c r="EF123" s="442">
        <v>14577</v>
      </c>
      <c r="EG123" s="442">
        <v>14570</v>
      </c>
      <c r="EH123" s="442">
        <v>14969</v>
      </c>
      <c r="EI123" s="442">
        <v>14595</v>
      </c>
      <c r="EJ123" s="442">
        <v>14798</v>
      </c>
      <c r="EK123" s="442">
        <v>14511</v>
      </c>
      <c r="EL123" s="442">
        <v>15053</v>
      </c>
      <c r="EM123" s="442">
        <v>13790</v>
      </c>
      <c r="EN123" s="442">
        <v>13178</v>
      </c>
      <c r="EO123" s="442">
        <v>12754</v>
      </c>
      <c r="EP123" s="442">
        <v>12585</v>
      </c>
      <c r="EQ123" s="442">
        <v>13595</v>
      </c>
      <c r="ER123" s="442">
        <v>12519</v>
      </c>
      <c r="ES123" s="442">
        <v>12896</v>
      </c>
      <c r="ET123" s="442">
        <v>14052</v>
      </c>
      <c r="EU123" s="442">
        <v>12908</v>
      </c>
      <c r="EV123" s="442">
        <v>12729</v>
      </c>
      <c r="EW123" s="442">
        <v>11591</v>
      </c>
      <c r="EX123" s="442">
        <v>11890</v>
      </c>
      <c r="EY123" s="442">
        <v>10786</v>
      </c>
      <c r="EZ123" s="442">
        <v>11874</v>
      </c>
      <c r="FA123" s="442">
        <v>10222</v>
      </c>
      <c r="FB123" s="442">
        <v>10057</v>
      </c>
      <c r="FC123" s="442">
        <v>10698</v>
      </c>
      <c r="FD123" s="442">
        <v>9813</v>
      </c>
      <c r="FE123" s="442">
        <v>11416</v>
      </c>
      <c r="FF123" s="442">
        <v>11136</v>
      </c>
      <c r="FG123" s="442">
        <v>10701</v>
      </c>
      <c r="FH123" s="442">
        <v>11319</v>
      </c>
      <c r="FI123" s="442">
        <v>12065</v>
      </c>
      <c r="FJ123" s="442">
        <v>11032</v>
      </c>
      <c r="FK123" s="442">
        <v>12417</v>
      </c>
      <c r="FL123" s="442">
        <v>11958</v>
      </c>
      <c r="FM123" s="442">
        <v>10667</v>
      </c>
      <c r="FN123" s="442">
        <v>11480</v>
      </c>
      <c r="FO123" s="442">
        <v>12856</v>
      </c>
      <c r="FP123" s="442">
        <v>13447</v>
      </c>
      <c r="FQ123" s="442">
        <v>13240</v>
      </c>
      <c r="FR123" s="442">
        <v>12669</v>
      </c>
      <c r="FS123" s="442">
        <v>12931</v>
      </c>
      <c r="FT123" s="442">
        <v>13235</v>
      </c>
      <c r="FU123" s="442">
        <v>13690</v>
      </c>
      <c r="FV123" s="442">
        <v>13912</v>
      </c>
      <c r="FW123" s="442">
        <v>15894</v>
      </c>
      <c r="FX123" s="442">
        <v>15888</v>
      </c>
      <c r="FY123" s="442">
        <v>14751</v>
      </c>
      <c r="FZ123" s="442">
        <v>15446</v>
      </c>
      <c r="GA123" s="442">
        <v>15903</v>
      </c>
      <c r="GB123" s="442">
        <v>16153</v>
      </c>
      <c r="GC123" s="442">
        <v>17374</v>
      </c>
      <c r="GD123" s="442">
        <v>17276</v>
      </c>
      <c r="GE123" s="442">
        <v>17363</v>
      </c>
      <c r="GF123" s="442">
        <v>18430</v>
      </c>
      <c r="GG123" s="442">
        <v>17563</v>
      </c>
      <c r="GH123" s="442">
        <v>17628</v>
      </c>
      <c r="GI123" s="442">
        <v>19465</v>
      </c>
      <c r="GJ123" s="442">
        <v>18910</v>
      </c>
      <c r="GK123" s="431">
        <v>18141</v>
      </c>
    </row>
    <row r="124" spans="1:193">
      <c r="A124" s="231" t="s">
        <v>345</v>
      </c>
      <c r="B124" s="348">
        <v>728</v>
      </c>
      <c r="C124" s="348">
        <v>787</v>
      </c>
      <c r="D124" s="348">
        <v>727</v>
      </c>
      <c r="E124" s="348">
        <v>801</v>
      </c>
      <c r="F124" s="348">
        <v>767</v>
      </c>
      <c r="G124" s="348">
        <v>956</v>
      </c>
      <c r="H124" s="348">
        <v>780</v>
      </c>
      <c r="I124" s="348">
        <v>723</v>
      </c>
      <c r="J124" s="348">
        <v>648</v>
      </c>
      <c r="K124" s="348">
        <v>813</v>
      </c>
      <c r="L124" s="348">
        <v>826</v>
      </c>
      <c r="M124" s="348">
        <v>1002</v>
      </c>
      <c r="N124" s="348">
        <v>929</v>
      </c>
      <c r="O124" s="348">
        <v>1027</v>
      </c>
      <c r="P124" s="348">
        <v>1206</v>
      </c>
      <c r="Q124" s="348">
        <v>1338</v>
      </c>
      <c r="R124" s="348">
        <v>963</v>
      </c>
      <c r="S124" s="348">
        <v>956</v>
      </c>
      <c r="T124" s="348">
        <v>799</v>
      </c>
      <c r="U124" s="348">
        <v>747</v>
      </c>
      <c r="V124" s="348">
        <v>734</v>
      </c>
      <c r="W124" s="348">
        <v>848</v>
      </c>
      <c r="X124" s="348">
        <v>762</v>
      </c>
      <c r="Y124" s="348">
        <v>864</v>
      </c>
      <c r="Z124" s="348">
        <v>907</v>
      </c>
      <c r="AA124" s="348">
        <v>910</v>
      </c>
      <c r="AB124" s="348">
        <v>1199</v>
      </c>
      <c r="AC124" s="348">
        <v>1001</v>
      </c>
      <c r="AD124" s="348">
        <v>900</v>
      </c>
      <c r="AE124" s="348">
        <v>1025</v>
      </c>
      <c r="AF124" s="348">
        <v>1096</v>
      </c>
      <c r="AG124" s="348">
        <v>1295</v>
      </c>
      <c r="AH124" s="348">
        <v>1110</v>
      </c>
      <c r="AI124" s="348">
        <v>1325</v>
      </c>
      <c r="AJ124" s="348">
        <v>1168</v>
      </c>
      <c r="AK124" s="348">
        <v>1128</v>
      </c>
      <c r="AL124" s="348">
        <v>1320</v>
      </c>
      <c r="AM124" s="348">
        <v>1345</v>
      </c>
      <c r="AN124" s="348">
        <v>1384</v>
      </c>
      <c r="AO124" s="348">
        <v>1295</v>
      </c>
      <c r="AP124" s="348">
        <v>1448</v>
      </c>
      <c r="AQ124" s="348">
        <v>1100</v>
      </c>
      <c r="AR124" s="348">
        <v>1524</v>
      </c>
      <c r="AS124" s="348">
        <v>1300</v>
      </c>
      <c r="AT124" s="348">
        <v>1336</v>
      </c>
      <c r="AU124" s="348">
        <v>1317</v>
      </c>
      <c r="AV124" s="348">
        <v>1487</v>
      </c>
      <c r="AW124" s="348">
        <v>1291</v>
      </c>
      <c r="AX124" s="348">
        <v>1779</v>
      </c>
      <c r="AY124" s="348">
        <v>1994</v>
      </c>
      <c r="AZ124" s="348">
        <v>1307</v>
      </c>
      <c r="BA124" s="348">
        <v>1352</v>
      </c>
      <c r="BB124" s="348">
        <v>1250</v>
      </c>
      <c r="BC124" s="348">
        <v>1485</v>
      </c>
      <c r="BD124" s="348">
        <v>1453</v>
      </c>
      <c r="BE124" s="348">
        <v>1698</v>
      </c>
      <c r="BF124" s="348">
        <v>1125</v>
      </c>
      <c r="BG124" s="348">
        <v>1277</v>
      </c>
      <c r="BH124" s="348">
        <v>1486</v>
      </c>
      <c r="BI124" s="348">
        <v>1518</v>
      </c>
      <c r="BJ124" s="348">
        <v>1392</v>
      </c>
      <c r="BK124" s="348">
        <v>1552</v>
      </c>
      <c r="BL124" s="348">
        <v>2186</v>
      </c>
      <c r="BM124" s="348">
        <v>2066</v>
      </c>
      <c r="BN124" s="348">
        <v>1919</v>
      </c>
      <c r="BO124" s="348">
        <v>1423</v>
      </c>
      <c r="BP124" s="348">
        <v>1751</v>
      </c>
      <c r="BQ124" s="348">
        <v>1291</v>
      </c>
      <c r="BR124" s="348">
        <v>1347</v>
      </c>
      <c r="BS124" s="348">
        <v>1438</v>
      </c>
      <c r="BT124" s="348">
        <v>1597</v>
      </c>
      <c r="BU124" s="348">
        <v>1224</v>
      </c>
      <c r="BV124" s="348">
        <v>1500</v>
      </c>
      <c r="BW124" s="348">
        <v>1768</v>
      </c>
      <c r="BX124" s="348">
        <v>1900</v>
      </c>
      <c r="BY124" s="348">
        <v>1656</v>
      </c>
      <c r="BZ124" s="348">
        <v>1467</v>
      </c>
      <c r="CA124" s="348">
        <v>1556</v>
      </c>
      <c r="CB124" s="348">
        <v>1774</v>
      </c>
      <c r="CC124" s="348">
        <v>1101</v>
      </c>
      <c r="CD124" s="348">
        <v>1316</v>
      </c>
      <c r="CE124" s="348">
        <v>1214</v>
      </c>
      <c r="CF124" s="441">
        <v>1411</v>
      </c>
      <c r="CG124" s="441">
        <v>1165</v>
      </c>
      <c r="CH124" s="441">
        <v>1111</v>
      </c>
      <c r="CI124" s="441">
        <v>1720</v>
      </c>
      <c r="CJ124" s="441">
        <v>1238</v>
      </c>
      <c r="CK124" s="441">
        <v>1519</v>
      </c>
      <c r="CL124" s="441">
        <v>1140</v>
      </c>
      <c r="CM124" s="441">
        <v>1850</v>
      </c>
      <c r="CN124" s="441">
        <v>1158</v>
      </c>
      <c r="CO124" s="441">
        <v>1179</v>
      </c>
      <c r="CP124" s="441">
        <v>1344</v>
      </c>
      <c r="CQ124" s="441">
        <v>1389</v>
      </c>
      <c r="CR124" s="441">
        <v>1538</v>
      </c>
      <c r="CS124" s="441">
        <v>1285</v>
      </c>
      <c r="CT124" s="441">
        <v>1321</v>
      </c>
      <c r="CU124" s="441">
        <v>1147</v>
      </c>
      <c r="CV124" s="441">
        <v>1402</v>
      </c>
      <c r="CW124" s="441">
        <v>985</v>
      </c>
      <c r="CX124" s="441">
        <v>1052</v>
      </c>
      <c r="CY124" s="441">
        <v>977</v>
      </c>
      <c r="CZ124" s="441">
        <v>894</v>
      </c>
      <c r="DA124" s="441">
        <v>901</v>
      </c>
      <c r="DB124" s="441">
        <v>801</v>
      </c>
      <c r="DC124" s="441">
        <v>834</v>
      </c>
      <c r="DD124" s="441">
        <v>872</v>
      </c>
      <c r="DE124" s="441">
        <v>745</v>
      </c>
      <c r="DF124" s="441">
        <v>836</v>
      </c>
      <c r="DG124" s="441">
        <v>913</v>
      </c>
      <c r="DH124" s="441">
        <v>908</v>
      </c>
      <c r="DI124" s="441">
        <v>835</v>
      </c>
      <c r="DJ124" s="441">
        <v>864</v>
      </c>
      <c r="DK124" s="441">
        <v>829</v>
      </c>
      <c r="DL124" s="441">
        <v>722</v>
      </c>
      <c r="DM124" s="441">
        <v>826</v>
      </c>
      <c r="DN124" s="441">
        <v>743</v>
      </c>
      <c r="DO124" s="441">
        <v>972</v>
      </c>
      <c r="DP124" s="441">
        <v>1280</v>
      </c>
      <c r="DQ124" s="441">
        <v>824</v>
      </c>
      <c r="DR124" s="441">
        <v>871</v>
      </c>
      <c r="DS124" s="441">
        <v>997</v>
      </c>
      <c r="DT124" s="441">
        <v>978</v>
      </c>
      <c r="DU124" s="441">
        <v>1051</v>
      </c>
      <c r="DV124" s="441">
        <v>1256</v>
      </c>
      <c r="DW124" s="441">
        <v>1177</v>
      </c>
      <c r="DX124" s="441">
        <v>1175</v>
      </c>
      <c r="DY124" s="441">
        <v>1025</v>
      </c>
      <c r="DZ124" s="441">
        <v>1209</v>
      </c>
      <c r="EA124" s="441">
        <v>1245</v>
      </c>
      <c r="EB124" s="441">
        <v>1078</v>
      </c>
      <c r="EC124" s="441">
        <v>1073</v>
      </c>
      <c r="ED124" s="441">
        <v>1017</v>
      </c>
      <c r="EE124" s="441">
        <v>1620</v>
      </c>
      <c r="EF124" s="441">
        <v>1517</v>
      </c>
      <c r="EG124" s="441">
        <v>1138</v>
      </c>
      <c r="EH124" s="441">
        <v>1298</v>
      </c>
      <c r="EI124" s="441">
        <v>1389</v>
      </c>
      <c r="EJ124" s="441">
        <v>1185</v>
      </c>
      <c r="EK124" s="441">
        <v>1220</v>
      </c>
      <c r="EL124" s="441">
        <v>994</v>
      </c>
      <c r="EM124" s="441">
        <v>1053</v>
      </c>
      <c r="EN124" s="441">
        <v>1059</v>
      </c>
      <c r="EO124" s="441">
        <v>1019</v>
      </c>
      <c r="EP124" s="441">
        <v>1135</v>
      </c>
      <c r="EQ124" s="441">
        <v>1182</v>
      </c>
      <c r="ER124" s="441">
        <v>1186</v>
      </c>
      <c r="ES124" s="441">
        <v>1586</v>
      </c>
      <c r="ET124" s="441">
        <v>1525</v>
      </c>
      <c r="EU124" s="441">
        <v>4077</v>
      </c>
      <c r="EV124" s="441">
        <v>1277</v>
      </c>
      <c r="EW124" s="441">
        <v>1203</v>
      </c>
      <c r="EX124" s="441">
        <v>1820</v>
      </c>
      <c r="EY124" s="441">
        <v>1382</v>
      </c>
      <c r="EZ124" s="441">
        <v>1480</v>
      </c>
      <c r="FA124" s="441">
        <v>1321</v>
      </c>
      <c r="FB124" s="441">
        <v>1359</v>
      </c>
      <c r="FC124" s="441">
        <v>1744</v>
      </c>
      <c r="FD124" s="441">
        <v>1900</v>
      </c>
      <c r="FE124" s="441">
        <v>1535</v>
      </c>
      <c r="FF124" s="441">
        <v>1342</v>
      </c>
      <c r="FG124" s="441">
        <v>1183</v>
      </c>
      <c r="FH124" s="441">
        <v>1278</v>
      </c>
      <c r="FI124" s="441">
        <v>1265</v>
      </c>
      <c r="FJ124" s="441">
        <v>1325</v>
      </c>
      <c r="FK124" s="441">
        <v>1423</v>
      </c>
      <c r="FL124" s="441">
        <v>1257</v>
      </c>
      <c r="FM124" s="441">
        <v>1366</v>
      </c>
      <c r="FN124" s="441">
        <v>1665</v>
      </c>
      <c r="FO124" s="441">
        <v>1550</v>
      </c>
      <c r="FP124" s="441">
        <v>1531</v>
      </c>
      <c r="FQ124" s="441">
        <v>1352</v>
      </c>
      <c r="FR124" s="441">
        <v>1441</v>
      </c>
      <c r="FS124" s="441">
        <v>1512</v>
      </c>
      <c r="FT124" s="441">
        <v>1527</v>
      </c>
      <c r="FU124" s="441">
        <v>1411</v>
      </c>
      <c r="FV124" s="441">
        <v>1324</v>
      </c>
      <c r="FW124" s="441">
        <v>1442</v>
      </c>
      <c r="FX124" s="441">
        <v>1581</v>
      </c>
      <c r="FY124" s="441">
        <v>1387</v>
      </c>
      <c r="FZ124" s="441">
        <v>1579</v>
      </c>
      <c r="GA124" s="441">
        <v>1631</v>
      </c>
      <c r="GB124" s="441">
        <v>1587</v>
      </c>
      <c r="GC124" s="441">
        <v>1613</v>
      </c>
      <c r="GD124" s="441">
        <v>1556</v>
      </c>
      <c r="GE124" s="441">
        <v>1674</v>
      </c>
      <c r="GF124" s="441">
        <v>1654</v>
      </c>
      <c r="GG124" s="441">
        <v>1414</v>
      </c>
      <c r="GH124" s="441">
        <v>1647</v>
      </c>
      <c r="GI124" s="441">
        <v>1569</v>
      </c>
      <c r="GJ124" s="441">
        <v>1598</v>
      </c>
      <c r="GK124" s="430">
        <v>1570</v>
      </c>
    </row>
    <row r="125" spans="1:193">
      <c r="A125" s="231" t="s">
        <v>239</v>
      </c>
      <c r="B125" s="442">
        <v>3228</v>
      </c>
      <c r="C125" s="442">
        <v>3314</v>
      </c>
      <c r="D125" s="442">
        <v>3497</v>
      </c>
      <c r="E125" s="442">
        <v>3566</v>
      </c>
      <c r="F125" s="442">
        <v>3757</v>
      </c>
      <c r="G125" s="442">
        <v>3459</v>
      </c>
      <c r="H125" s="442">
        <v>3518</v>
      </c>
      <c r="I125" s="442">
        <v>3916</v>
      </c>
      <c r="J125" s="442">
        <v>3664</v>
      </c>
      <c r="K125" s="442">
        <v>3940</v>
      </c>
      <c r="L125" s="442">
        <v>4448</v>
      </c>
      <c r="M125" s="442">
        <v>4008</v>
      </c>
      <c r="N125" s="442">
        <v>3689</v>
      </c>
      <c r="O125" s="442">
        <v>3405</v>
      </c>
      <c r="P125" s="442">
        <v>3148</v>
      </c>
      <c r="Q125" s="442">
        <v>3902</v>
      </c>
      <c r="R125" s="442">
        <v>3427</v>
      </c>
      <c r="S125" s="442">
        <v>4013</v>
      </c>
      <c r="T125" s="442">
        <v>4292</v>
      </c>
      <c r="U125" s="442">
        <v>4383</v>
      </c>
      <c r="V125" s="442">
        <v>5132</v>
      </c>
      <c r="W125" s="442">
        <v>5487</v>
      </c>
      <c r="X125" s="442">
        <v>5941</v>
      </c>
      <c r="Y125" s="442">
        <v>6118</v>
      </c>
      <c r="Z125" s="442">
        <v>4884</v>
      </c>
      <c r="AA125" s="442">
        <v>5138</v>
      </c>
      <c r="AB125" s="442">
        <v>5955</v>
      </c>
      <c r="AC125" s="442">
        <v>5375</v>
      </c>
      <c r="AD125" s="442">
        <v>5471</v>
      </c>
      <c r="AE125" s="442">
        <v>5973</v>
      </c>
      <c r="AF125" s="442">
        <v>5788</v>
      </c>
      <c r="AG125" s="442">
        <v>5925</v>
      </c>
      <c r="AH125" s="442">
        <v>6697</v>
      </c>
      <c r="AI125" s="442">
        <v>6354</v>
      </c>
      <c r="AJ125" s="442">
        <v>5889</v>
      </c>
      <c r="AK125" s="442">
        <v>5604</v>
      </c>
      <c r="AL125" s="442">
        <v>6283</v>
      </c>
      <c r="AM125" s="442">
        <v>5820</v>
      </c>
      <c r="AN125" s="442">
        <v>6757</v>
      </c>
      <c r="AO125" s="442">
        <v>6499</v>
      </c>
      <c r="AP125" s="442">
        <v>6734</v>
      </c>
      <c r="AQ125" s="442">
        <v>6581</v>
      </c>
      <c r="AR125" s="442">
        <v>6129</v>
      </c>
      <c r="AS125" s="442">
        <v>6611</v>
      </c>
      <c r="AT125" s="442">
        <v>6983</v>
      </c>
      <c r="AU125" s="442">
        <v>6224</v>
      </c>
      <c r="AV125" s="442">
        <v>6766</v>
      </c>
      <c r="AW125" s="442">
        <v>6219</v>
      </c>
      <c r="AX125" s="442">
        <v>5985</v>
      </c>
      <c r="AY125" s="442">
        <v>6063</v>
      </c>
      <c r="AZ125" s="442">
        <v>6783</v>
      </c>
      <c r="BA125" s="442">
        <v>6788</v>
      </c>
      <c r="BB125" s="442">
        <v>7181</v>
      </c>
      <c r="BC125" s="442">
        <v>7054</v>
      </c>
      <c r="BD125" s="442">
        <v>7152</v>
      </c>
      <c r="BE125" s="442">
        <v>7726</v>
      </c>
      <c r="BF125" s="442">
        <v>8027</v>
      </c>
      <c r="BG125" s="442">
        <v>7463</v>
      </c>
      <c r="BH125" s="442">
        <v>8317</v>
      </c>
      <c r="BI125" s="442">
        <v>7273</v>
      </c>
      <c r="BJ125" s="442">
        <v>7733</v>
      </c>
      <c r="BK125" s="442">
        <v>8355</v>
      </c>
      <c r="BL125" s="442">
        <v>8499</v>
      </c>
      <c r="BM125" s="442">
        <v>8335</v>
      </c>
      <c r="BN125" s="442">
        <v>9435</v>
      </c>
      <c r="BO125" s="442">
        <v>9022</v>
      </c>
      <c r="BP125" s="442">
        <v>8860</v>
      </c>
      <c r="BQ125" s="442">
        <v>9935</v>
      </c>
      <c r="BR125" s="442">
        <v>9690</v>
      </c>
      <c r="BS125" s="442">
        <v>10775</v>
      </c>
      <c r="BT125" s="442">
        <v>10095</v>
      </c>
      <c r="BU125" s="442">
        <v>9444</v>
      </c>
      <c r="BV125" s="442">
        <v>9525</v>
      </c>
      <c r="BW125" s="442">
        <v>10731</v>
      </c>
      <c r="BX125" s="442">
        <v>10804</v>
      </c>
      <c r="BY125" s="442">
        <v>10608</v>
      </c>
      <c r="BZ125" s="442">
        <v>10548</v>
      </c>
      <c r="CA125" s="442">
        <v>10125</v>
      </c>
      <c r="CB125" s="442">
        <v>10939</v>
      </c>
      <c r="CC125" s="442">
        <v>12825</v>
      </c>
      <c r="CD125" s="442">
        <v>11350</v>
      </c>
      <c r="CE125" s="442">
        <v>11137</v>
      </c>
      <c r="CF125" s="442">
        <v>11838</v>
      </c>
      <c r="CG125" s="442">
        <v>10437</v>
      </c>
      <c r="CH125" s="442">
        <v>10920</v>
      </c>
      <c r="CI125" s="442">
        <v>10170</v>
      </c>
      <c r="CJ125" s="442">
        <v>9830</v>
      </c>
      <c r="CK125" s="442">
        <v>10532</v>
      </c>
      <c r="CL125" s="442">
        <v>10761</v>
      </c>
      <c r="CM125" s="442">
        <v>12426</v>
      </c>
      <c r="CN125" s="442">
        <v>13490</v>
      </c>
      <c r="CO125" s="442">
        <v>13935</v>
      </c>
      <c r="CP125" s="442">
        <v>15934</v>
      </c>
      <c r="CQ125" s="442">
        <v>17597</v>
      </c>
      <c r="CR125" s="442">
        <v>16113</v>
      </c>
      <c r="CS125" s="442">
        <v>14207</v>
      </c>
      <c r="CT125" s="442">
        <v>12804</v>
      </c>
      <c r="CU125" s="442">
        <v>13742</v>
      </c>
      <c r="CV125" s="442">
        <v>15024</v>
      </c>
      <c r="CW125" s="442">
        <v>14716</v>
      </c>
      <c r="CX125" s="442">
        <v>14174</v>
      </c>
      <c r="CY125" s="442">
        <v>14215</v>
      </c>
      <c r="CZ125" s="442">
        <v>13968</v>
      </c>
      <c r="DA125" s="442">
        <v>13589</v>
      </c>
      <c r="DB125" s="442">
        <v>13630</v>
      </c>
      <c r="DC125" s="442">
        <v>13886</v>
      </c>
      <c r="DD125" s="442">
        <v>13425</v>
      </c>
      <c r="DE125" s="442">
        <v>13504</v>
      </c>
      <c r="DF125" s="442">
        <v>11984</v>
      </c>
      <c r="DG125" s="442">
        <v>12716</v>
      </c>
      <c r="DH125" s="442">
        <v>13613</v>
      </c>
      <c r="DI125" s="442">
        <v>14012</v>
      </c>
      <c r="DJ125" s="442">
        <v>14340</v>
      </c>
      <c r="DK125" s="442">
        <v>14759</v>
      </c>
      <c r="DL125" s="442">
        <v>16081</v>
      </c>
      <c r="DM125" s="442">
        <v>15618</v>
      </c>
      <c r="DN125" s="442">
        <v>15554</v>
      </c>
      <c r="DO125" s="442">
        <v>16992</v>
      </c>
      <c r="DP125" s="442">
        <v>17163</v>
      </c>
      <c r="DQ125" s="442">
        <v>14934</v>
      </c>
      <c r="DR125" s="442">
        <v>16221</v>
      </c>
      <c r="DS125" s="442">
        <v>15606</v>
      </c>
      <c r="DT125" s="442">
        <v>17230</v>
      </c>
      <c r="DU125" s="442">
        <v>16960</v>
      </c>
      <c r="DV125" s="442">
        <v>19592</v>
      </c>
      <c r="DW125" s="442">
        <v>19869</v>
      </c>
      <c r="DX125" s="442">
        <v>18680</v>
      </c>
      <c r="DY125" s="442">
        <v>19696</v>
      </c>
      <c r="DZ125" s="442">
        <v>21413</v>
      </c>
      <c r="EA125" s="442">
        <v>19671</v>
      </c>
      <c r="EB125" s="442">
        <v>21718</v>
      </c>
      <c r="EC125" s="442">
        <v>19145</v>
      </c>
      <c r="ED125" s="442">
        <v>26328</v>
      </c>
      <c r="EE125" s="442">
        <v>28443</v>
      </c>
      <c r="EF125" s="442">
        <v>30281</v>
      </c>
      <c r="EG125" s="442">
        <v>32538</v>
      </c>
      <c r="EH125" s="442">
        <v>31929</v>
      </c>
      <c r="EI125" s="442">
        <v>31257</v>
      </c>
      <c r="EJ125" s="442">
        <v>34167</v>
      </c>
      <c r="EK125" s="442">
        <v>34850</v>
      </c>
      <c r="EL125" s="442">
        <v>32316</v>
      </c>
      <c r="EM125" s="442">
        <v>31480</v>
      </c>
      <c r="EN125" s="442">
        <v>31529</v>
      </c>
      <c r="EO125" s="442">
        <v>30984</v>
      </c>
      <c r="EP125" s="442">
        <v>32917</v>
      </c>
      <c r="EQ125" s="442">
        <v>35875</v>
      </c>
      <c r="ER125" s="442">
        <v>35554</v>
      </c>
      <c r="ES125" s="442">
        <v>37735</v>
      </c>
      <c r="ET125" s="442">
        <v>37664</v>
      </c>
      <c r="EU125" s="442">
        <v>38179</v>
      </c>
      <c r="EV125" s="442">
        <v>43200</v>
      </c>
      <c r="EW125" s="442">
        <v>42734</v>
      </c>
      <c r="EX125" s="442">
        <v>39417</v>
      </c>
      <c r="EY125" s="442">
        <v>39624</v>
      </c>
      <c r="EZ125" s="442">
        <v>40240</v>
      </c>
      <c r="FA125" s="442">
        <v>35887</v>
      </c>
      <c r="FB125" s="442">
        <v>33528</v>
      </c>
      <c r="FC125" s="442">
        <v>38219</v>
      </c>
      <c r="FD125" s="442">
        <v>39279</v>
      </c>
      <c r="FE125" s="442">
        <v>38395</v>
      </c>
      <c r="FF125" s="442">
        <v>38577</v>
      </c>
      <c r="FG125" s="442">
        <v>37902</v>
      </c>
      <c r="FH125" s="442">
        <v>38960</v>
      </c>
      <c r="FI125" s="442">
        <v>38191</v>
      </c>
      <c r="FJ125" s="442">
        <v>41313</v>
      </c>
      <c r="FK125" s="442">
        <v>38538</v>
      </c>
      <c r="FL125" s="442">
        <v>40412</v>
      </c>
      <c r="FM125" s="442">
        <v>36276</v>
      </c>
      <c r="FN125" s="442">
        <v>32259</v>
      </c>
      <c r="FO125" s="442">
        <v>35289</v>
      </c>
      <c r="FP125" s="442">
        <v>34668</v>
      </c>
      <c r="FQ125" s="442">
        <v>33461</v>
      </c>
      <c r="FR125" s="442">
        <v>31824</v>
      </c>
      <c r="FS125" s="442">
        <v>29694</v>
      </c>
      <c r="FT125" s="442">
        <v>31863</v>
      </c>
      <c r="FU125" s="442">
        <v>33101</v>
      </c>
      <c r="FV125" s="442">
        <v>33810</v>
      </c>
      <c r="FW125" s="442">
        <v>33577</v>
      </c>
      <c r="FX125" s="442">
        <v>33331</v>
      </c>
      <c r="FY125" s="442">
        <v>30621</v>
      </c>
      <c r="FZ125" s="442">
        <v>28522</v>
      </c>
      <c r="GA125" s="442">
        <v>31484</v>
      </c>
      <c r="GB125" s="442">
        <v>30301</v>
      </c>
      <c r="GC125" s="442">
        <v>28839</v>
      </c>
      <c r="GD125" s="442">
        <v>32487</v>
      </c>
      <c r="GE125" s="442">
        <v>30076</v>
      </c>
      <c r="GF125" s="442">
        <v>32534</v>
      </c>
      <c r="GG125" s="442">
        <v>33101</v>
      </c>
      <c r="GH125" s="442">
        <v>29122</v>
      </c>
      <c r="GI125" s="442">
        <v>30644</v>
      </c>
      <c r="GJ125" s="442">
        <v>33594</v>
      </c>
      <c r="GK125" s="431">
        <v>27818</v>
      </c>
    </row>
    <row r="126" spans="1:193">
      <c r="A126" s="231" t="s">
        <v>241</v>
      </c>
      <c r="B126" s="348">
        <v>2804</v>
      </c>
      <c r="C126" s="348">
        <v>3099</v>
      </c>
      <c r="D126" s="348">
        <v>4420</v>
      </c>
      <c r="E126" s="348">
        <v>3389</v>
      </c>
      <c r="F126" s="348">
        <v>3279</v>
      </c>
      <c r="G126" s="348">
        <v>2957</v>
      </c>
      <c r="H126" s="348">
        <v>3289</v>
      </c>
      <c r="I126" s="348">
        <v>3205</v>
      </c>
      <c r="J126" s="348">
        <v>3198</v>
      </c>
      <c r="K126" s="348">
        <v>3529</v>
      </c>
      <c r="L126" s="348">
        <v>3375</v>
      </c>
      <c r="M126" s="348">
        <v>2738</v>
      </c>
      <c r="N126" s="348">
        <v>2581</v>
      </c>
      <c r="O126" s="348">
        <v>3025</v>
      </c>
      <c r="P126" s="348">
        <v>2899</v>
      </c>
      <c r="Q126" s="348">
        <v>3146</v>
      </c>
      <c r="R126" s="348">
        <v>3097</v>
      </c>
      <c r="S126" s="348">
        <v>2550</v>
      </c>
      <c r="T126" s="348">
        <v>3100</v>
      </c>
      <c r="U126" s="348">
        <v>3005</v>
      </c>
      <c r="V126" s="348">
        <v>2927</v>
      </c>
      <c r="W126" s="348">
        <v>2943</v>
      </c>
      <c r="X126" s="348">
        <v>3369</v>
      </c>
      <c r="Y126" s="348">
        <v>3283</v>
      </c>
      <c r="Z126" s="348">
        <v>2941</v>
      </c>
      <c r="AA126" s="348">
        <v>3401</v>
      </c>
      <c r="AB126" s="348">
        <v>3997</v>
      </c>
      <c r="AC126" s="348">
        <v>4278</v>
      </c>
      <c r="AD126" s="348">
        <v>4077</v>
      </c>
      <c r="AE126" s="348">
        <v>3985</v>
      </c>
      <c r="AF126" s="348">
        <v>3966</v>
      </c>
      <c r="AG126" s="348">
        <v>3785</v>
      </c>
      <c r="AH126" s="348">
        <v>3860</v>
      </c>
      <c r="AI126" s="348">
        <v>3402</v>
      </c>
      <c r="AJ126" s="348">
        <v>3586</v>
      </c>
      <c r="AK126" s="348">
        <v>3340</v>
      </c>
      <c r="AL126" s="348">
        <v>3203</v>
      </c>
      <c r="AM126" s="348">
        <v>3546</v>
      </c>
      <c r="AN126" s="348">
        <v>4600</v>
      </c>
      <c r="AO126" s="348">
        <v>4280</v>
      </c>
      <c r="AP126" s="348">
        <v>3870</v>
      </c>
      <c r="AQ126" s="348">
        <v>4614</v>
      </c>
      <c r="AR126" s="348">
        <v>4336</v>
      </c>
      <c r="AS126" s="348">
        <v>4667</v>
      </c>
      <c r="AT126" s="348">
        <v>4900</v>
      </c>
      <c r="AU126" s="348">
        <v>5371</v>
      </c>
      <c r="AV126" s="348">
        <v>5131</v>
      </c>
      <c r="AW126" s="348">
        <v>5091</v>
      </c>
      <c r="AX126" s="348">
        <v>5399</v>
      </c>
      <c r="AY126" s="348">
        <v>6175</v>
      </c>
      <c r="AZ126" s="348">
        <v>6850</v>
      </c>
      <c r="BA126" s="348">
        <v>7222</v>
      </c>
      <c r="BB126" s="348">
        <v>7241</v>
      </c>
      <c r="BC126" s="348">
        <v>6936</v>
      </c>
      <c r="BD126" s="348">
        <v>7646</v>
      </c>
      <c r="BE126" s="348">
        <v>7091</v>
      </c>
      <c r="BF126" s="348">
        <v>5839</v>
      </c>
      <c r="BG126" s="348">
        <v>6327</v>
      </c>
      <c r="BH126" s="348">
        <v>6154</v>
      </c>
      <c r="BI126" s="348">
        <v>5687</v>
      </c>
      <c r="BJ126" s="348">
        <v>5705</v>
      </c>
      <c r="BK126" s="348">
        <v>6398</v>
      </c>
      <c r="BL126" s="348">
        <v>6592</v>
      </c>
      <c r="BM126" s="348">
        <v>6562</v>
      </c>
      <c r="BN126" s="348">
        <v>7310</v>
      </c>
      <c r="BO126" s="348">
        <v>7463</v>
      </c>
      <c r="BP126" s="348">
        <v>7330</v>
      </c>
      <c r="BQ126" s="348">
        <v>8602</v>
      </c>
      <c r="BR126" s="348">
        <v>7507</v>
      </c>
      <c r="BS126" s="348">
        <v>8225</v>
      </c>
      <c r="BT126" s="348">
        <v>8095</v>
      </c>
      <c r="BU126" s="348">
        <v>8041</v>
      </c>
      <c r="BV126" s="348">
        <v>7027</v>
      </c>
      <c r="BW126" s="348">
        <v>8223</v>
      </c>
      <c r="BX126" s="348">
        <v>8485</v>
      </c>
      <c r="BY126" s="348">
        <v>8041</v>
      </c>
      <c r="BZ126" s="348">
        <v>8350</v>
      </c>
      <c r="CA126" s="348">
        <v>8162</v>
      </c>
      <c r="CB126" s="348">
        <v>8320</v>
      </c>
      <c r="CC126" s="348">
        <v>9939</v>
      </c>
      <c r="CD126" s="348">
        <v>9213</v>
      </c>
      <c r="CE126" s="348">
        <v>8502</v>
      </c>
      <c r="CF126" s="441">
        <v>8356</v>
      </c>
      <c r="CG126" s="441">
        <v>6810</v>
      </c>
      <c r="CH126" s="441">
        <v>7068</v>
      </c>
      <c r="CI126" s="441">
        <v>7561</v>
      </c>
      <c r="CJ126" s="441">
        <v>7291</v>
      </c>
      <c r="CK126" s="441">
        <v>7913</v>
      </c>
      <c r="CL126" s="441">
        <v>8009</v>
      </c>
      <c r="CM126" s="441">
        <v>8551</v>
      </c>
      <c r="CN126" s="441">
        <v>9102</v>
      </c>
      <c r="CO126" s="441">
        <v>8927</v>
      </c>
      <c r="CP126" s="441">
        <v>7853</v>
      </c>
      <c r="CQ126" s="441">
        <v>7666</v>
      </c>
      <c r="CR126" s="441">
        <v>6124</v>
      </c>
      <c r="CS126" s="441">
        <v>5370</v>
      </c>
      <c r="CT126" s="441">
        <v>4329</v>
      </c>
      <c r="CU126" s="441">
        <v>3398</v>
      </c>
      <c r="CV126" s="441">
        <v>3315</v>
      </c>
      <c r="CW126" s="441">
        <v>3286</v>
      </c>
      <c r="CX126" s="441">
        <v>3043</v>
      </c>
      <c r="CY126" s="441">
        <v>2862</v>
      </c>
      <c r="CZ126" s="441">
        <v>2862</v>
      </c>
      <c r="DA126" s="441">
        <v>3992</v>
      </c>
      <c r="DB126" s="441">
        <v>2753</v>
      </c>
      <c r="DC126" s="441">
        <v>3207</v>
      </c>
      <c r="DD126" s="441">
        <v>2886</v>
      </c>
      <c r="DE126" s="441">
        <v>2832</v>
      </c>
      <c r="DF126" s="441">
        <v>2922</v>
      </c>
      <c r="DG126" s="441">
        <v>3640</v>
      </c>
      <c r="DH126" s="441">
        <v>3723</v>
      </c>
      <c r="DI126" s="441">
        <v>3410</v>
      </c>
      <c r="DJ126" s="441">
        <v>3711</v>
      </c>
      <c r="DK126" s="441">
        <v>4092</v>
      </c>
      <c r="DL126" s="441">
        <v>4173</v>
      </c>
      <c r="DM126" s="441">
        <v>4473</v>
      </c>
      <c r="DN126" s="441">
        <v>4701</v>
      </c>
      <c r="DO126" s="441">
        <v>5383</v>
      </c>
      <c r="DP126" s="441">
        <v>5178</v>
      </c>
      <c r="DQ126" s="441">
        <v>4955</v>
      </c>
      <c r="DR126" s="441">
        <v>4706</v>
      </c>
      <c r="DS126" s="441">
        <v>5891</v>
      </c>
      <c r="DT126" s="441">
        <v>5752</v>
      </c>
      <c r="DU126" s="441">
        <v>5460</v>
      </c>
      <c r="DV126" s="441">
        <v>6123</v>
      </c>
      <c r="DW126" s="441">
        <v>6050</v>
      </c>
      <c r="DX126" s="441">
        <v>5194</v>
      </c>
      <c r="DY126" s="441">
        <v>5362</v>
      </c>
      <c r="DZ126" s="441">
        <v>4855</v>
      </c>
      <c r="EA126" s="441">
        <v>5067</v>
      </c>
      <c r="EB126" s="441">
        <v>5051</v>
      </c>
      <c r="EC126" s="441">
        <v>4387</v>
      </c>
      <c r="ED126" s="441">
        <v>4049</v>
      </c>
      <c r="EE126" s="441">
        <v>4792</v>
      </c>
      <c r="EF126" s="441">
        <v>4102</v>
      </c>
      <c r="EG126" s="441">
        <v>3764</v>
      </c>
      <c r="EH126" s="441">
        <v>3891</v>
      </c>
      <c r="EI126" s="441">
        <v>3876</v>
      </c>
      <c r="EJ126" s="441">
        <v>3848</v>
      </c>
      <c r="EK126" s="441">
        <v>3945</v>
      </c>
      <c r="EL126" s="441">
        <v>3544</v>
      </c>
      <c r="EM126" s="441">
        <v>4751</v>
      </c>
      <c r="EN126" s="441">
        <v>4005</v>
      </c>
      <c r="EO126" s="441">
        <v>3050</v>
      </c>
      <c r="EP126" s="441">
        <v>3073</v>
      </c>
      <c r="EQ126" s="441">
        <v>3169</v>
      </c>
      <c r="ER126" s="441">
        <v>3207</v>
      </c>
      <c r="ES126" s="441">
        <v>3410</v>
      </c>
      <c r="ET126" s="441">
        <v>3094</v>
      </c>
      <c r="EU126" s="441">
        <v>3046</v>
      </c>
      <c r="EV126" s="441">
        <v>3004</v>
      </c>
      <c r="EW126" s="441">
        <v>2819</v>
      </c>
      <c r="EX126" s="441">
        <v>2887</v>
      </c>
      <c r="EY126" s="441">
        <v>3454</v>
      </c>
      <c r="EZ126" s="441">
        <v>3183</v>
      </c>
      <c r="FA126" s="441">
        <v>2477</v>
      </c>
      <c r="FB126" s="441">
        <v>2614</v>
      </c>
      <c r="FC126" s="441">
        <v>2675</v>
      </c>
      <c r="FD126" s="441">
        <v>2905</v>
      </c>
      <c r="FE126" s="441">
        <v>2466</v>
      </c>
      <c r="FF126" s="441">
        <v>3236</v>
      </c>
      <c r="FG126" s="441">
        <v>2779</v>
      </c>
      <c r="FH126" s="441">
        <v>2941</v>
      </c>
      <c r="FI126" s="441">
        <v>2888</v>
      </c>
      <c r="FJ126" s="441">
        <v>2811</v>
      </c>
      <c r="FK126" s="441">
        <v>3026</v>
      </c>
      <c r="FL126" s="441">
        <v>3136</v>
      </c>
      <c r="FM126" s="441">
        <v>2808</v>
      </c>
      <c r="FN126" s="441">
        <v>2674</v>
      </c>
      <c r="FO126" s="441">
        <v>3118</v>
      </c>
      <c r="FP126" s="441">
        <v>2924</v>
      </c>
      <c r="FQ126" s="441">
        <v>2912</v>
      </c>
      <c r="FR126" s="441">
        <v>3149</v>
      </c>
      <c r="FS126" s="441">
        <v>3171</v>
      </c>
      <c r="FT126" s="441">
        <v>2977</v>
      </c>
      <c r="FU126" s="441">
        <v>3069</v>
      </c>
      <c r="FV126" s="441">
        <v>3193</v>
      </c>
      <c r="FW126" s="441">
        <v>4174</v>
      </c>
      <c r="FX126" s="441">
        <v>3079</v>
      </c>
      <c r="FY126" s="441">
        <v>2703</v>
      </c>
      <c r="FZ126" s="441">
        <v>2614</v>
      </c>
      <c r="GA126" s="441">
        <v>2781</v>
      </c>
      <c r="GB126" s="441">
        <v>2955</v>
      </c>
      <c r="GC126" s="441">
        <v>2814</v>
      </c>
      <c r="GD126" s="441">
        <v>3066</v>
      </c>
      <c r="GE126" s="441">
        <v>3002</v>
      </c>
      <c r="GF126" s="441">
        <v>3267</v>
      </c>
      <c r="GG126" s="441">
        <v>3006</v>
      </c>
      <c r="GH126" s="441">
        <v>3202</v>
      </c>
      <c r="GI126" s="441">
        <v>3435</v>
      </c>
      <c r="GJ126" s="441">
        <v>3585</v>
      </c>
      <c r="GK126" s="430">
        <v>3184</v>
      </c>
    </row>
    <row r="127" spans="1:193">
      <c r="A127" s="231" t="s">
        <v>244</v>
      </c>
      <c r="B127" s="442">
        <v>249</v>
      </c>
      <c r="C127" s="442">
        <v>223</v>
      </c>
      <c r="D127" s="442">
        <v>237</v>
      </c>
      <c r="E127" s="442">
        <v>205</v>
      </c>
      <c r="F127" s="442">
        <v>285</v>
      </c>
      <c r="G127" s="442">
        <v>258</v>
      </c>
      <c r="H127" s="442">
        <v>298</v>
      </c>
      <c r="I127" s="442">
        <v>225</v>
      </c>
      <c r="J127" s="442">
        <v>211</v>
      </c>
      <c r="K127" s="442">
        <v>451</v>
      </c>
      <c r="L127" s="442">
        <v>313</v>
      </c>
      <c r="M127" s="442">
        <v>262</v>
      </c>
      <c r="N127" s="442">
        <v>233</v>
      </c>
      <c r="O127" s="442">
        <v>379</v>
      </c>
      <c r="P127" s="442">
        <v>186</v>
      </c>
      <c r="Q127" s="442">
        <v>235</v>
      </c>
      <c r="R127" s="442">
        <v>215</v>
      </c>
      <c r="S127" s="442">
        <v>297</v>
      </c>
      <c r="T127" s="442">
        <v>219</v>
      </c>
      <c r="U127" s="442">
        <v>272</v>
      </c>
      <c r="V127" s="442">
        <v>272</v>
      </c>
      <c r="W127" s="442">
        <v>282</v>
      </c>
      <c r="X127" s="442">
        <v>242</v>
      </c>
      <c r="Y127" s="442">
        <v>217</v>
      </c>
      <c r="Z127" s="442">
        <v>259</v>
      </c>
      <c r="AA127" s="442">
        <v>254</v>
      </c>
      <c r="AB127" s="442">
        <v>206</v>
      </c>
      <c r="AC127" s="442">
        <v>226</v>
      </c>
      <c r="AD127" s="442">
        <v>278</v>
      </c>
      <c r="AE127" s="442">
        <v>253</v>
      </c>
      <c r="AF127" s="442">
        <v>231</v>
      </c>
      <c r="AG127" s="442">
        <v>295</v>
      </c>
      <c r="AH127" s="442">
        <v>265</v>
      </c>
      <c r="AI127" s="442">
        <v>244</v>
      </c>
      <c r="AJ127" s="442">
        <v>267</v>
      </c>
      <c r="AK127" s="442">
        <v>157</v>
      </c>
      <c r="AL127" s="442">
        <v>244</v>
      </c>
      <c r="AM127" s="442">
        <v>246</v>
      </c>
      <c r="AN127" s="442">
        <v>226</v>
      </c>
      <c r="AO127" s="442">
        <v>227</v>
      </c>
      <c r="AP127" s="442">
        <v>235</v>
      </c>
      <c r="AQ127" s="442">
        <v>337</v>
      </c>
      <c r="AR127" s="442">
        <v>319</v>
      </c>
      <c r="AS127" s="442">
        <v>256</v>
      </c>
      <c r="AT127" s="442">
        <v>269</v>
      </c>
      <c r="AU127" s="442">
        <v>257</v>
      </c>
      <c r="AV127" s="442">
        <v>290</v>
      </c>
      <c r="AW127" s="442">
        <v>282</v>
      </c>
      <c r="AX127" s="442">
        <v>335</v>
      </c>
      <c r="AY127" s="442">
        <v>447</v>
      </c>
      <c r="AZ127" s="442">
        <v>463</v>
      </c>
      <c r="BA127" s="442">
        <v>412</v>
      </c>
      <c r="BB127" s="442">
        <v>421</v>
      </c>
      <c r="BC127" s="442">
        <v>470</v>
      </c>
      <c r="BD127" s="442">
        <v>407</v>
      </c>
      <c r="BE127" s="442">
        <v>451</v>
      </c>
      <c r="BF127" s="442">
        <v>759</v>
      </c>
      <c r="BG127" s="442">
        <v>409</v>
      </c>
      <c r="BH127" s="442">
        <v>388</v>
      </c>
      <c r="BI127" s="442">
        <v>279</v>
      </c>
      <c r="BJ127" s="442">
        <v>281</v>
      </c>
      <c r="BK127" s="442">
        <v>399</v>
      </c>
      <c r="BL127" s="442">
        <v>390</v>
      </c>
      <c r="BM127" s="442">
        <v>382</v>
      </c>
      <c r="BN127" s="442">
        <v>393</v>
      </c>
      <c r="BO127" s="442">
        <v>390</v>
      </c>
      <c r="BP127" s="442">
        <v>348</v>
      </c>
      <c r="BQ127" s="442">
        <v>426</v>
      </c>
      <c r="BR127" s="442">
        <v>422</v>
      </c>
      <c r="BS127" s="442">
        <v>489</v>
      </c>
      <c r="BT127" s="442">
        <v>472</v>
      </c>
      <c r="BU127" s="442">
        <v>369</v>
      </c>
      <c r="BV127" s="442">
        <v>386</v>
      </c>
      <c r="BW127" s="442">
        <v>374</v>
      </c>
      <c r="BX127" s="442">
        <v>378</v>
      </c>
      <c r="BY127" s="442">
        <v>362</v>
      </c>
      <c r="BZ127" s="442">
        <v>467</v>
      </c>
      <c r="CA127" s="442">
        <v>396</v>
      </c>
      <c r="CB127" s="442">
        <v>414</v>
      </c>
      <c r="CC127" s="442">
        <v>467</v>
      </c>
      <c r="CD127" s="442">
        <v>389</v>
      </c>
      <c r="CE127" s="442">
        <v>400</v>
      </c>
      <c r="CF127" s="442">
        <v>377</v>
      </c>
      <c r="CG127" s="442">
        <v>330</v>
      </c>
      <c r="CH127" s="442">
        <v>355</v>
      </c>
      <c r="CI127" s="442">
        <v>334</v>
      </c>
      <c r="CJ127" s="442">
        <v>334</v>
      </c>
      <c r="CK127" s="442">
        <v>408</v>
      </c>
      <c r="CL127" s="442">
        <v>373</v>
      </c>
      <c r="CM127" s="442">
        <v>421</v>
      </c>
      <c r="CN127" s="442">
        <v>477</v>
      </c>
      <c r="CO127" s="442">
        <v>544</v>
      </c>
      <c r="CP127" s="442">
        <v>426</v>
      </c>
      <c r="CQ127" s="442">
        <v>464</v>
      </c>
      <c r="CR127" s="442">
        <v>373</v>
      </c>
      <c r="CS127" s="442">
        <v>343</v>
      </c>
      <c r="CT127" s="442">
        <v>290</v>
      </c>
      <c r="CU127" s="442">
        <v>381</v>
      </c>
      <c r="CV127" s="442">
        <v>421</v>
      </c>
      <c r="CW127" s="442">
        <v>438</v>
      </c>
      <c r="CX127" s="442">
        <v>666</v>
      </c>
      <c r="CY127" s="442">
        <v>472</v>
      </c>
      <c r="CZ127" s="442">
        <v>399</v>
      </c>
      <c r="DA127" s="442">
        <v>423</v>
      </c>
      <c r="DB127" s="442">
        <v>468</v>
      </c>
      <c r="DC127" s="442">
        <v>435</v>
      </c>
      <c r="DD127" s="442">
        <v>454</v>
      </c>
      <c r="DE127" s="442">
        <v>356</v>
      </c>
      <c r="DF127" s="442">
        <v>469</v>
      </c>
      <c r="DG127" s="442">
        <v>489</v>
      </c>
      <c r="DH127" s="442">
        <v>413</v>
      </c>
      <c r="DI127" s="442">
        <v>532</v>
      </c>
      <c r="DJ127" s="442">
        <v>655</v>
      </c>
      <c r="DK127" s="442">
        <v>794</v>
      </c>
      <c r="DL127" s="442">
        <v>1228</v>
      </c>
      <c r="DM127" s="442">
        <v>1469</v>
      </c>
      <c r="DN127" s="442">
        <v>947</v>
      </c>
      <c r="DO127" s="442">
        <v>1084</v>
      </c>
      <c r="DP127" s="442">
        <v>899</v>
      </c>
      <c r="DQ127" s="442">
        <v>537</v>
      </c>
      <c r="DR127" s="442">
        <v>445</v>
      </c>
      <c r="DS127" s="442">
        <v>445</v>
      </c>
      <c r="DT127" s="442">
        <v>597</v>
      </c>
      <c r="DU127" s="442">
        <v>591</v>
      </c>
      <c r="DV127" s="442">
        <v>550</v>
      </c>
      <c r="DW127" s="442">
        <v>642</v>
      </c>
      <c r="DX127" s="442">
        <v>571</v>
      </c>
      <c r="DY127" s="442">
        <v>638</v>
      </c>
      <c r="DZ127" s="442">
        <v>563</v>
      </c>
      <c r="EA127" s="442">
        <v>484</v>
      </c>
      <c r="EB127" s="442">
        <v>465</v>
      </c>
      <c r="EC127" s="442">
        <v>388</v>
      </c>
      <c r="ED127" s="442">
        <v>542</v>
      </c>
      <c r="EE127" s="442">
        <v>580</v>
      </c>
      <c r="EF127" s="442">
        <v>598</v>
      </c>
      <c r="EG127" s="442">
        <v>548</v>
      </c>
      <c r="EH127" s="442">
        <v>465</v>
      </c>
      <c r="EI127" s="442">
        <v>416</v>
      </c>
      <c r="EJ127" s="442">
        <v>381</v>
      </c>
      <c r="EK127" s="442">
        <v>601</v>
      </c>
      <c r="EL127" s="442">
        <v>486</v>
      </c>
      <c r="EM127" s="442">
        <v>556</v>
      </c>
      <c r="EN127" s="442">
        <v>597</v>
      </c>
      <c r="EO127" s="442">
        <v>576</v>
      </c>
      <c r="EP127" s="442">
        <v>488</v>
      </c>
      <c r="EQ127" s="442">
        <v>580</v>
      </c>
      <c r="ER127" s="442">
        <v>581</v>
      </c>
      <c r="ES127" s="442">
        <v>578</v>
      </c>
      <c r="ET127" s="442">
        <v>623</v>
      </c>
      <c r="EU127" s="442">
        <v>623</v>
      </c>
      <c r="EV127" s="442">
        <v>667</v>
      </c>
      <c r="EW127" s="442">
        <v>655</v>
      </c>
      <c r="EX127" s="442">
        <v>669</v>
      </c>
      <c r="EY127" s="442">
        <v>645</v>
      </c>
      <c r="EZ127" s="442">
        <v>608</v>
      </c>
      <c r="FA127" s="442">
        <v>387</v>
      </c>
      <c r="FB127" s="442">
        <v>370</v>
      </c>
      <c r="FC127" s="442">
        <v>348</v>
      </c>
      <c r="FD127" s="442">
        <v>462</v>
      </c>
      <c r="FE127" s="442">
        <v>337</v>
      </c>
      <c r="FF127" s="442">
        <v>380</v>
      </c>
      <c r="FG127" s="442">
        <v>355</v>
      </c>
      <c r="FH127" s="442">
        <v>655</v>
      </c>
      <c r="FI127" s="442">
        <v>576</v>
      </c>
      <c r="FJ127" s="442">
        <v>453</v>
      </c>
      <c r="FK127" s="442">
        <v>473</v>
      </c>
      <c r="FL127" s="442">
        <v>402</v>
      </c>
      <c r="FM127" s="442">
        <v>322</v>
      </c>
      <c r="FN127" s="442">
        <v>323</v>
      </c>
      <c r="FO127" s="442">
        <v>330</v>
      </c>
      <c r="FP127" s="442">
        <v>407</v>
      </c>
      <c r="FQ127" s="442">
        <v>313</v>
      </c>
      <c r="FR127" s="442">
        <v>297</v>
      </c>
      <c r="FS127" s="442">
        <v>428</v>
      </c>
      <c r="FT127" s="442">
        <v>424</v>
      </c>
      <c r="FU127" s="442">
        <v>512</v>
      </c>
      <c r="FV127" s="442">
        <v>470</v>
      </c>
      <c r="FW127" s="442">
        <v>358</v>
      </c>
      <c r="FX127" s="442">
        <v>432</v>
      </c>
      <c r="FY127" s="442">
        <v>333</v>
      </c>
      <c r="FZ127" s="442">
        <v>161</v>
      </c>
      <c r="GA127" s="442">
        <v>285</v>
      </c>
      <c r="GB127" s="442">
        <v>302</v>
      </c>
      <c r="GC127" s="442">
        <v>357</v>
      </c>
      <c r="GD127" s="442">
        <v>354</v>
      </c>
      <c r="GE127" s="442">
        <v>370</v>
      </c>
      <c r="GF127" s="442">
        <v>362</v>
      </c>
      <c r="GG127" s="442">
        <v>442</v>
      </c>
      <c r="GH127" s="442">
        <v>436</v>
      </c>
      <c r="GI127" s="442">
        <v>500</v>
      </c>
      <c r="GJ127" s="442">
        <v>442</v>
      </c>
      <c r="GK127" s="431">
        <v>401</v>
      </c>
    </row>
    <row r="128" spans="1:193">
      <c r="A128" s="231" t="s">
        <v>246</v>
      </c>
      <c r="B128" s="348">
        <v>123</v>
      </c>
      <c r="C128" s="348">
        <v>133</v>
      </c>
      <c r="D128" s="348">
        <v>135</v>
      </c>
      <c r="E128" s="348">
        <v>210</v>
      </c>
      <c r="F128" s="348">
        <v>203</v>
      </c>
      <c r="G128" s="348">
        <v>245</v>
      </c>
      <c r="H128" s="348">
        <v>260</v>
      </c>
      <c r="I128" s="348">
        <v>324</v>
      </c>
      <c r="J128" s="348">
        <v>510</v>
      </c>
      <c r="K128" s="348">
        <v>554</v>
      </c>
      <c r="L128" s="348">
        <v>471</v>
      </c>
      <c r="M128" s="348">
        <v>236</v>
      </c>
      <c r="N128" s="348">
        <v>314</v>
      </c>
      <c r="O128" s="348">
        <v>281</v>
      </c>
      <c r="P128" s="348">
        <v>200</v>
      </c>
      <c r="Q128" s="348">
        <v>208</v>
      </c>
      <c r="R128" s="348">
        <v>284</v>
      </c>
      <c r="S128" s="348">
        <v>240</v>
      </c>
      <c r="T128" s="348">
        <v>218</v>
      </c>
      <c r="U128" s="348">
        <v>223</v>
      </c>
      <c r="V128" s="348">
        <v>212</v>
      </c>
      <c r="W128" s="348">
        <v>214</v>
      </c>
      <c r="X128" s="348">
        <v>194</v>
      </c>
      <c r="Y128" s="348">
        <v>139</v>
      </c>
      <c r="Z128" s="348">
        <v>192</v>
      </c>
      <c r="AA128" s="348">
        <v>197</v>
      </c>
      <c r="AB128" s="348">
        <v>200</v>
      </c>
      <c r="AC128" s="348">
        <v>172</v>
      </c>
      <c r="AD128" s="348">
        <v>199</v>
      </c>
      <c r="AE128" s="348">
        <v>238</v>
      </c>
      <c r="AF128" s="348">
        <v>268</v>
      </c>
      <c r="AG128" s="348">
        <v>259</v>
      </c>
      <c r="AH128" s="348">
        <v>240</v>
      </c>
      <c r="AI128" s="348">
        <v>237</v>
      </c>
      <c r="AJ128" s="348">
        <v>248</v>
      </c>
      <c r="AK128" s="348">
        <v>247</v>
      </c>
      <c r="AL128" s="348">
        <v>234</v>
      </c>
      <c r="AM128" s="348">
        <v>260</v>
      </c>
      <c r="AN128" s="348">
        <v>262</v>
      </c>
      <c r="AO128" s="348">
        <v>252</v>
      </c>
      <c r="AP128" s="348">
        <v>258</v>
      </c>
      <c r="AQ128" s="348">
        <v>260</v>
      </c>
      <c r="AR128" s="348">
        <v>239</v>
      </c>
      <c r="AS128" s="348">
        <v>229</v>
      </c>
      <c r="AT128" s="348">
        <v>231</v>
      </c>
      <c r="AU128" s="348">
        <v>238</v>
      </c>
      <c r="AV128" s="348">
        <v>255</v>
      </c>
      <c r="AW128" s="348">
        <v>246</v>
      </c>
      <c r="AX128" s="348">
        <v>287</v>
      </c>
      <c r="AY128" s="348">
        <v>291</v>
      </c>
      <c r="AZ128" s="348">
        <v>332</v>
      </c>
      <c r="BA128" s="348">
        <v>315</v>
      </c>
      <c r="BB128" s="348">
        <v>325</v>
      </c>
      <c r="BC128" s="348">
        <v>333</v>
      </c>
      <c r="BD128" s="348">
        <v>318</v>
      </c>
      <c r="BE128" s="348">
        <v>330</v>
      </c>
      <c r="BF128" s="348">
        <v>259</v>
      </c>
      <c r="BG128" s="348">
        <v>357</v>
      </c>
      <c r="BH128" s="348">
        <v>342</v>
      </c>
      <c r="BI128" s="348">
        <v>300</v>
      </c>
      <c r="BJ128" s="348">
        <v>326</v>
      </c>
      <c r="BK128" s="348">
        <v>281</v>
      </c>
      <c r="BL128" s="348">
        <v>269</v>
      </c>
      <c r="BM128" s="348">
        <v>232</v>
      </c>
      <c r="BN128" s="348">
        <v>257</v>
      </c>
      <c r="BO128" s="348">
        <v>242</v>
      </c>
      <c r="BP128" s="348">
        <v>244</v>
      </c>
      <c r="BQ128" s="348">
        <v>198</v>
      </c>
      <c r="BR128" s="348">
        <v>231</v>
      </c>
      <c r="BS128" s="348">
        <v>178</v>
      </c>
      <c r="BT128" s="348">
        <v>172</v>
      </c>
      <c r="BU128" s="348">
        <v>167</v>
      </c>
      <c r="BV128" s="348">
        <v>172</v>
      </c>
      <c r="BW128" s="348">
        <v>273</v>
      </c>
      <c r="BX128" s="348">
        <v>163</v>
      </c>
      <c r="BY128" s="348">
        <v>162</v>
      </c>
      <c r="BZ128" s="348">
        <v>169</v>
      </c>
      <c r="CA128" s="348">
        <v>177</v>
      </c>
      <c r="CB128" s="348">
        <v>279</v>
      </c>
      <c r="CC128" s="348">
        <v>184</v>
      </c>
      <c r="CD128" s="348">
        <v>193</v>
      </c>
      <c r="CE128" s="348">
        <v>191</v>
      </c>
      <c r="CF128" s="441">
        <v>308</v>
      </c>
      <c r="CG128" s="441">
        <v>214</v>
      </c>
      <c r="CH128" s="441">
        <v>226</v>
      </c>
      <c r="CI128" s="441">
        <v>227</v>
      </c>
      <c r="CJ128" s="441">
        <v>218</v>
      </c>
      <c r="CK128" s="441">
        <v>212</v>
      </c>
      <c r="CL128" s="441">
        <v>225</v>
      </c>
      <c r="CM128" s="441">
        <v>222</v>
      </c>
      <c r="CN128" s="441">
        <v>207</v>
      </c>
      <c r="CO128" s="441">
        <v>214</v>
      </c>
      <c r="CP128" s="441">
        <v>213</v>
      </c>
      <c r="CQ128" s="441">
        <v>218</v>
      </c>
      <c r="CR128" s="441">
        <v>230</v>
      </c>
      <c r="CS128" s="441">
        <v>151</v>
      </c>
      <c r="CT128" s="441">
        <v>98</v>
      </c>
      <c r="CU128" s="441">
        <v>80</v>
      </c>
      <c r="CV128" s="441">
        <v>90</v>
      </c>
      <c r="CW128" s="441">
        <v>83</v>
      </c>
      <c r="CX128" s="441">
        <v>82</v>
      </c>
      <c r="CY128" s="441">
        <v>91</v>
      </c>
      <c r="CZ128" s="441">
        <v>85</v>
      </c>
      <c r="DA128" s="441">
        <v>89</v>
      </c>
      <c r="DB128" s="441">
        <v>87</v>
      </c>
      <c r="DC128" s="441">
        <v>89</v>
      </c>
      <c r="DD128" s="441">
        <v>120</v>
      </c>
      <c r="DE128" s="441">
        <v>155</v>
      </c>
      <c r="DF128" s="441">
        <v>174</v>
      </c>
      <c r="DG128" s="441">
        <v>191</v>
      </c>
      <c r="DH128" s="441">
        <v>217</v>
      </c>
      <c r="DI128" s="441">
        <v>243</v>
      </c>
      <c r="DJ128" s="441">
        <v>230</v>
      </c>
      <c r="DK128" s="441">
        <v>290</v>
      </c>
      <c r="DL128" s="441">
        <v>290</v>
      </c>
      <c r="DM128" s="441">
        <v>323</v>
      </c>
      <c r="DN128" s="441">
        <v>270</v>
      </c>
      <c r="DO128" s="441">
        <v>278</v>
      </c>
      <c r="DP128" s="441">
        <v>244</v>
      </c>
      <c r="DQ128" s="441">
        <v>239</v>
      </c>
      <c r="DR128" s="441">
        <v>206</v>
      </c>
      <c r="DS128" s="441">
        <v>234</v>
      </c>
      <c r="DT128" s="441">
        <v>311</v>
      </c>
      <c r="DU128" s="441">
        <v>317</v>
      </c>
      <c r="DV128" s="441">
        <v>408</v>
      </c>
      <c r="DW128" s="441">
        <v>462</v>
      </c>
      <c r="DX128" s="441">
        <v>317</v>
      </c>
      <c r="DY128" s="441">
        <v>297</v>
      </c>
      <c r="DZ128" s="441">
        <v>314</v>
      </c>
      <c r="EA128" s="441">
        <v>329</v>
      </c>
      <c r="EB128" s="441">
        <v>323</v>
      </c>
      <c r="EC128" s="441">
        <v>345</v>
      </c>
      <c r="ED128" s="441">
        <v>373</v>
      </c>
      <c r="EE128" s="441">
        <v>397</v>
      </c>
      <c r="EF128" s="441">
        <v>369</v>
      </c>
      <c r="EG128" s="441">
        <v>412</v>
      </c>
      <c r="EH128" s="441">
        <v>415</v>
      </c>
      <c r="EI128" s="441">
        <v>349</v>
      </c>
      <c r="EJ128" s="441">
        <v>321</v>
      </c>
      <c r="EK128" s="441">
        <v>154</v>
      </c>
      <c r="EL128" s="441">
        <v>139</v>
      </c>
      <c r="EM128" s="441">
        <v>120</v>
      </c>
      <c r="EN128" s="441">
        <v>116</v>
      </c>
      <c r="EO128" s="441">
        <v>118</v>
      </c>
      <c r="EP128" s="441">
        <v>118</v>
      </c>
      <c r="EQ128" s="441">
        <v>128</v>
      </c>
      <c r="ER128" s="441">
        <v>121</v>
      </c>
      <c r="ES128" s="441">
        <v>134</v>
      </c>
      <c r="ET128" s="441">
        <v>137</v>
      </c>
      <c r="EU128" s="441">
        <v>130</v>
      </c>
      <c r="EV128" s="441">
        <v>119</v>
      </c>
      <c r="EW128" s="441">
        <v>135</v>
      </c>
      <c r="EX128" s="441">
        <v>147</v>
      </c>
      <c r="EY128" s="441">
        <v>137</v>
      </c>
      <c r="EZ128" s="441">
        <v>146</v>
      </c>
      <c r="FA128" s="441">
        <v>146</v>
      </c>
      <c r="FB128" s="441">
        <v>138</v>
      </c>
      <c r="FC128" s="441">
        <v>144</v>
      </c>
      <c r="FD128" s="441">
        <v>133</v>
      </c>
      <c r="FE128" s="441">
        <v>178</v>
      </c>
      <c r="FF128" s="441">
        <v>248</v>
      </c>
      <c r="FG128" s="441">
        <v>204</v>
      </c>
      <c r="FH128" s="441">
        <v>248</v>
      </c>
      <c r="FI128" s="441">
        <v>224</v>
      </c>
      <c r="FJ128" s="441">
        <v>233</v>
      </c>
      <c r="FK128" s="441">
        <v>291</v>
      </c>
      <c r="FL128" s="441">
        <v>298</v>
      </c>
      <c r="FM128" s="441">
        <v>248</v>
      </c>
      <c r="FN128" s="441">
        <v>345</v>
      </c>
      <c r="FO128" s="441">
        <v>433</v>
      </c>
      <c r="FP128" s="441">
        <v>433</v>
      </c>
      <c r="FQ128" s="441">
        <v>368</v>
      </c>
      <c r="FR128" s="441">
        <v>314</v>
      </c>
      <c r="FS128" s="441">
        <v>387</v>
      </c>
      <c r="FT128" s="441">
        <v>465</v>
      </c>
      <c r="FU128" s="441">
        <v>469</v>
      </c>
      <c r="FV128" s="441">
        <v>439</v>
      </c>
      <c r="FW128" s="441">
        <v>461</v>
      </c>
      <c r="FX128" s="441">
        <v>550</v>
      </c>
      <c r="FY128" s="441">
        <v>400</v>
      </c>
      <c r="FZ128" s="441">
        <v>409</v>
      </c>
      <c r="GA128" s="441">
        <v>487</v>
      </c>
      <c r="GB128" s="441">
        <v>561</v>
      </c>
      <c r="GC128" s="441">
        <v>516</v>
      </c>
      <c r="GD128" s="441">
        <v>590</v>
      </c>
      <c r="GE128" s="441">
        <v>580</v>
      </c>
      <c r="GF128" s="441">
        <v>686</v>
      </c>
      <c r="GG128" s="441">
        <v>732</v>
      </c>
      <c r="GH128" s="441">
        <v>677</v>
      </c>
      <c r="GI128" s="441">
        <v>677</v>
      </c>
      <c r="GJ128" s="441">
        <v>575</v>
      </c>
      <c r="GK128" s="430">
        <v>600</v>
      </c>
    </row>
    <row r="129" spans="1:193" ht="15.75" thickBot="1">
      <c r="A129" s="232" t="s">
        <v>103</v>
      </c>
      <c r="B129" s="161">
        <v>519</v>
      </c>
      <c r="C129" s="435">
        <v>478</v>
      </c>
      <c r="D129" s="435">
        <v>569</v>
      </c>
      <c r="E129" s="435">
        <v>546</v>
      </c>
      <c r="F129" s="435">
        <v>683</v>
      </c>
      <c r="G129" s="435">
        <v>685</v>
      </c>
      <c r="H129" s="435">
        <v>615</v>
      </c>
      <c r="I129" s="435">
        <v>623</v>
      </c>
      <c r="J129" s="435">
        <v>565</v>
      </c>
      <c r="K129" s="435">
        <v>549</v>
      </c>
      <c r="L129" s="435">
        <v>494</v>
      </c>
      <c r="M129" s="435">
        <v>620</v>
      </c>
      <c r="N129" s="435">
        <v>570</v>
      </c>
      <c r="O129" s="435">
        <v>546</v>
      </c>
      <c r="P129" s="435">
        <v>432</v>
      </c>
      <c r="Q129" s="435">
        <v>482</v>
      </c>
      <c r="R129" s="435">
        <v>424</v>
      </c>
      <c r="S129" s="435">
        <v>594</v>
      </c>
      <c r="T129" s="435">
        <v>714</v>
      </c>
      <c r="U129" s="435">
        <v>603</v>
      </c>
      <c r="V129" s="435">
        <v>674</v>
      </c>
      <c r="W129" s="435">
        <v>880</v>
      </c>
      <c r="X129" s="435">
        <v>755</v>
      </c>
      <c r="Y129" s="435">
        <v>728</v>
      </c>
      <c r="Z129" s="435">
        <v>646</v>
      </c>
      <c r="AA129" s="435">
        <v>564</v>
      </c>
      <c r="AB129" s="435">
        <v>512</v>
      </c>
      <c r="AC129" s="435">
        <v>694</v>
      </c>
      <c r="AD129" s="435">
        <v>797</v>
      </c>
      <c r="AE129" s="435">
        <v>693</v>
      </c>
      <c r="AF129" s="435">
        <v>657</v>
      </c>
      <c r="AG129" s="435">
        <v>635</v>
      </c>
      <c r="AH129" s="435">
        <v>737</v>
      </c>
      <c r="AI129" s="435">
        <v>674</v>
      </c>
      <c r="AJ129" s="435">
        <v>752</v>
      </c>
      <c r="AK129" s="435">
        <v>650</v>
      </c>
      <c r="AL129" s="435">
        <v>597</v>
      </c>
      <c r="AM129" s="435">
        <v>663</v>
      </c>
      <c r="AN129" s="435">
        <v>712</v>
      </c>
      <c r="AO129" s="435">
        <v>742</v>
      </c>
      <c r="AP129" s="435">
        <v>684</v>
      </c>
      <c r="AQ129" s="435">
        <v>763</v>
      </c>
      <c r="AR129" s="435">
        <v>692</v>
      </c>
      <c r="AS129" s="435">
        <v>841</v>
      </c>
      <c r="AT129" s="435">
        <v>931</v>
      </c>
      <c r="AU129" s="435">
        <v>1115</v>
      </c>
      <c r="AV129" s="435">
        <v>927</v>
      </c>
      <c r="AW129" s="435">
        <v>872</v>
      </c>
      <c r="AX129" s="435">
        <v>667</v>
      </c>
      <c r="AY129" s="435">
        <v>714</v>
      </c>
      <c r="AZ129" s="435">
        <v>759</v>
      </c>
      <c r="BA129" s="435">
        <v>762</v>
      </c>
      <c r="BB129" s="435">
        <v>979</v>
      </c>
      <c r="BC129" s="435">
        <v>804</v>
      </c>
      <c r="BD129" s="435">
        <v>814</v>
      </c>
      <c r="BE129" s="435">
        <v>784</v>
      </c>
      <c r="BF129" s="435">
        <v>901</v>
      </c>
      <c r="BG129" s="435">
        <v>821</v>
      </c>
      <c r="BH129" s="435">
        <v>914</v>
      </c>
      <c r="BI129" s="435">
        <v>669</v>
      </c>
      <c r="BJ129" s="435">
        <v>603</v>
      </c>
      <c r="BK129" s="435">
        <v>625</v>
      </c>
      <c r="BL129" s="435">
        <v>604</v>
      </c>
      <c r="BM129" s="435">
        <v>651</v>
      </c>
      <c r="BN129" s="435">
        <v>708</v>
      </c>
      <c r="BO129" s="435">
        <v>643</v>
      </c>
      <c r="BP129" s="435">
        <v>569</v>
      </c>
      <c r="BQ129" s="435">
        <v>573</v>
      </c>
      <c r="BR129" s="435">
        <v>584</v>
      </c>
      <c r="BS129" s="435">
        <v>611</v>
      </c>
      <c r="BT129" s="435">
        <v>909</v>
      </c>
      <c r="BU129" s="435">
        <v>516</v>
      </c>
      <c r="BV129" s="435">
        <v>528</v>
      </c>
      <c r="BW129" s="435">
        <v>547</v>
      </c>
      <c r="BX129" s="435">
        <v>652</v>
      </c>
      <c r="BY129" s="435">
        <v>608</v>
      </c>
      <c r="BZ129" s="435">
        <v>713</v>
      </c>
      <c r="CA129" s="435">
        <v>709</v>
      </c>
      <c r="CB129" s="435">
        <v>675</v>
      </c>
      <c r="CC129" s="435">
        <v>742</v>
      </c>
      <c r="CD129" s="435">
        <v>932</v>
      </c>
      <c r="CE129" s="435">
        <v>655</v>
      </c>
      <c r="CF129" s="435">
        <v>794</v>
      </c>
      <c r="CG129" s="435">
        <v>707</v>
      </c>
      <c r="CH129" s="435">
        <v>881</v>
      </c>
      <c r="CI129" s="435">
        <v>850</v>
      </c>
      <c r="CJ129" s="435">
        <v>863</v>
      </c>
      <c r="CK129" s="435">
        <v>882</v>
      </c>
      <c r="CL129" s="435">
        <v>936</v>
      </c>
      <c r="CM129" s="435">
        <v>857</v>
      </c>
      <c r="CN129" s="435">
        <v>906</v>
      </c>
      <c r="CO129" s="435">
        <v>1015</v>
      </c>
      <c r="CP129" s="435">
        <v>1050</v>
      </c>
      <c r="CQ129" s="435">
        <v>1149</v>
      </c>
      <c r="CR129" s="435">
        <v>1122</v>
      </c>
      <c r="CS129" s="435">
        <v>1462</v>
      </c>
      <c r="CT129" s="435">
        <v>1768</v>
      </c>
      <c r="CU129" s="435">
        <v>1280</v>
      </c>
      <c r="CV129" s="435">
        <v>1020</v>
      </c>
      <c r="CW129" s="435">
        <v>1000</v>
      </c>
      <c r="CX129" s="435">
        <v>1256</v>
      </c>
      <c r="CY129" s="435">
        <v>1042</v>
      </c>
      <c r="CZ129" s="435">
        <v>962</v>
      </c>
      <c r="DA129" s="435">
        <v>1017</v>
      </c>
      <c r="DB129" s="435">
        <v>961</v>
      </c>
      <c r="DC129" s="435">
        <v>1038</v>
      </c>
      <c r="DD129" s="435">
        <v>1049</v>
      </c>
      <c r="DE129" s="435">
        <v>981</v>
      </c>
      <c r="DF129" s="435">
        <v>974</v>
      </c>
      <c r="DG129" s="435">
        <v>1038</v>
      </c>
      <c r="DH129" s="435">
        <v>1166</v>
      </c>
      <c r="DI129" s="435">
        <v>1195</v>
      </c>
      <c r="DJ129" s="435">
        <v>1360</v>
      </c>
      <c r="DK129" s="435">
        <v>1351</v>
      </c>
      <c r="DL129" s="435">
        <v>1555</v>
      </c>
      <c r="DM129" s="435">
        <v>1571</v>
      </c>
      <c r="DN129" s="435">
        <v>1790</v>
      </c>
      <c r="DO129" s="435">
        <v>1964</v>
      </c>
      <c r="DP129" s="435">
        <v>2056</v>
      </c>
      <c r="DQ129" s="435">
        <v>1911</v>
      </c>
      <c r="DR129" s="435">
        <v>1873</v>
      </c>
      <c r="DS129" s="435">
        <v>1994</v>
      </c>
      <c r="DT129" s="435">
        <v>2309</v>
      </c>
      <c r="DU129" s="435">
        <v>2180</v>
      </c>
      <c r="DV129" s="435">
        <v>2368</v>
      </c>
      <c r="DW129" s="435">
        <v>2271</v>
      </c>
      <c r="DX129" s="435">
        <v>2223</v>
      </c>
      <c r="DY129" s="435">
        <v>2528</v>
      </c>
      <c r="DZ129" s="435">
        <v>2279</v>
      </c>
      <c r="EA129" s="435">
        <v>2390</v>
      </c>
      <c r="EB129" s="435">
        <v>2451</v>
      </c>
      <c r="EC129" s="435">
        <v>1987</v>
      </c>
      <c r="ED129" s="435">
        <v>1985</v>
      </c>
      <c r="EE129" s="435">
        <v>2212</v>
      </c>
      <c r="EF129" s="435">
        <v>2106</v>
      </c>
      <c r="EG129" s="435">
        <v>1855</v>
      </c>
      <c r="EH129" s="435">
        <v>2023</v>
      </c>
      <c r="EI129" s="435">
        <v>1799</v>
      </c>
      <c r="EJ129" s="435">
        <v>1709</v>
      </c>
      <c r="EK129" s="435">
        <v>1674</v>
      </c>
      <c r="EL129" s="435">
        <v>1548</v>
      </c>
      <c r="EM129" s="435">
        <v>1635</v>
      </c>
      <c r="EN129" s="435">
        <v>1554</v>
      </c>
      <c r="EO129" s="435">
        <v>1354</v>
      </c>
      <c r="EP129" s="435">
        <v>1359</v>
      </c>
      <c r="EQ129" s="435">
        <v>2667</v>
      </c>
      <c r="ER129" s="435">
        <v>3395</v>
      </c>
      <c r="ES129" s="435">
        <v>1533</v>
      </c>
      <c r="ET129" s="435">
        <v>1775</v>
      </c>
      <c r="EU129" s="435">
        <v>1529</v>
      </c>
      <c r="EV129" s="435">
        <v>1716</v>
      </c>
      <c r="EW129" s="435">
        <v>1787</v>
      </c>
      <c r="EX129" s="435">
        <v>1810</v>
      </c>
      <c r="EY129" s="435">
        <v>2029</v>
      </c>
      <c r="EZ129" s="435">
        <v>1856</v>
      </c>
      <c r="FA129" s="435">
        <v>1642</v>
      </c>
      <c r="FB129" s="435">
        <v>1681</v>
      </c>
      <c r="FC129" s="435">
        <v>1712</v>
      </c>
      <c r="FD129" s="435">
        <v>1846</v>
      </c>
      <c r="FE129" s="435">
        <v>1775</v>
      </c>
      <c r="FF129" s="435">
        <v>1858</v>
      </c>
      <c r="FG129" s="435">
        <v>1731</v>
      </c>
      <c r="FH129" s="435">
        <v>2024</v>
      </c>
      <c r="FI129" s="435">
        <v>1778</v>
      </c>
      <c r="FJ129" s="435">
        <v>2121</v>
      </c>
      <c r="FK129" s="435">
        <v>1673</v>
      </c>
      <c r="FL129" s="435">
        <v>1777</v>
      </c>
      <c r="FM129" s="435">
        <v>1632</v>
      </c>
      <c r="FN129" s="435">
        <v>1482</v>
      </c>
      <c r="FO129" s="435">
        <v>1470</v>
      </c>
      <c r="FP129" s="435">
        <v>1656</v>
      </c>
      <c r="FQ129" s="435">
        <v>1430</v>
      </c>
      <c r="FR129" s="435">
        <v>1457</v>
      </c>
      <c r="FS129" s="435">
        <v>1193</v>
      </c>
      <c r="FT129" s="435">
        <v>1435</v>
      </c>
      <c r="FU129" s="435">
        <v>1574</v>
      </c>
      <c r="FV129" s="435">
        <v>1621</v>
      </c>
      <c r="FW129" s="435">
        <v>1543</v>
      </c>
      <c r="FX129" s="435">
        <v>1582</v>
      </c>
      <c r="FY129" s="435">
        <v>1434</v>
      </c>
      <c r="FZ129" s="435">
        <v>1300</v>
      </c>
      <c r="GA129" s="435">
        <v>1299</v>
      </c>
      <c r="GB129" s="435">
        <v>1545</v>
      </c>
      <c r="GC129" s="435">
        <v>1259</v>
      </c>
      <c r="GD129" s="435">
        <v>1289</v>
      </c>
      <c r="GE129" s="435">
        <v>1190</v>
      </c>
      <c r="GF129" s="435">
        <v>1198</v>
      </c>
      <c r="GG129" s="435">
        <v>1381</v>
      </c>
      <c r="GH129" s="435">
        <v>1403</v>
      </c>
      <c r="GI129" s="435">
        <v>1444</v>
      </c>
      <c r="GJ129" s="435">
        <v>1419</v>
      </c>
      <c r="GK129" s="432">
        <v>1394</v>
      </c>
    </row>
    <row r="130" spans="1:193" ht="16.5" thickTop="1" thickBot="1">
      <c r="A130" s="162" t="s">
        <v>183</v>
      </c>
      <c r="B130" s="436">
        <v>18573</v>
      </c>
      <c r="C130" s="436">
        <v>18297</v>
      </c>
      <c r="D130" s="436">
        <v>20485</v>
      </c>
      <c r="E130" s="436">
        <v>19548</v>
      </c>
      <c r="F130" s="436">
        <v>19996</v>
      </c>
      <c r="G130" s="436">
        <v>20559</v>
      </c>
      <c r="H130" s="436">
        <v>20353</v>
      </c>
      <c r="I130" s="436">
        <v>20594</v>
      </c>
      <c r="J130" s="436">
        <v>19940</v>
      </c>
      <c r="K130" s="436">
        <v>21487</v>
      </c>
      <c r="L130" s="436">
        <v>21107</v>
      </c>
      <c r="M130" s="436">
        <v>21469</v>
      </c>
      <c r="N130" s="436">
        <v>20491</v>
      </c>
      <c r="O130" s="436">
        <v>21116</v>
      </c>
      <c r="P130" s="436">
        <v>19249</v>
      </c>
      <c r="Q130" s="436">
        <v>21515</v>
      </c>
      <c r="R130" s="436">
        <v>19850</v>
      </c>
      <c r="S130" s="436">
        <v>20123</v>
      </c>
      <c r="T130" s="436">
        <v>22783</v>
      </c>
      <c r="U130" s="436">
        <v>20971</v>
      </c>
      <c r="V130" s="436">
        <v>21808</v>
      </c>
      <c r="W130" s="436">
        <v>22601</v>
      </c>
      <c r="X130" s="436">
        <v>23483</v>
      </c>
      <c r="Y130" s="436">
        <v>22928</v>
      </c>
      <c r="Z130" s="436">
        <v>21965</v>
      </c>
      <c r="AA130" s="436">
        <v>22076</v>
      </c>
      <c r="AB130" s="436">
        <v>24581</v>
      </c>
      <c r="AC130" s="436">
        <v>23523</v>
      </c>
      <c r="AD130" s="436">
        <v>23569</v>
      </c>
      <c r="AE130" s="436">
        <v>24086</v>
      </c>
      <c r="AF130" s="436">
        <v>24625</v>
      </c>
      <c r="AG130" s="436">
        <v>24199</v>
      </c>
      <c r="AH130" s="436">
        <v>24816</v>
      </c>
      <c r="AI130" s="436">
        <v>24728</v>
      </c>
      <c r="AJ130" s="436">
        <v>24599</v>
      </c>
      <c r="AK130" s="436">
        <v>23483</v>
      </c>
      <c r="AL130" s="436">
        <v>23811</v>
      </c>
      <c r="AM130" s="436">
        <v>25134</v>
      </c>
      <c r="AN130" s="436">
        <v>27146</v>
      </c>
      <c r="AO130" s="436">
        <v>26190</v>
      </c>
      <c r="AP130" s="436">
        <v>26710</v>
      </c>
      <c r="AQ130" s="436">
        <v>26834</v>
      </c>
      <c r="AR130" s="436">
        <v>26815</v>
      </c>
      <c r="AS130" s="436">
        <v>27442</v>
      </c>
      <c r="AT130" s="436">
        <v>27547</v>
      </c>
      <c r="AU130" s="436">
        <v>27458</v>
      </c>
      <c r="AV130" s="436">
        <v>28283</v>
      </c>
      <c r="AW130" s="436">
        <v>28011</v>
      </c>
      <c r="AX130" s="436">
        <v>27443</v>
      </c>
      <c r="AY130" s="436">
        <v>29186</v>
      </c>
      <c r="AZ130" s="436">
        <v>30667</v>
      </c>
      <c r="BA130" s="436">
        <v>31255</v>
      </c>
      <c r="BB130" s="436">
        <v>32090</v>
      </c>
      <c r="BC130" s="436">
        <v>31225</v>
      </c>
      <c r="BD130" s="436">
        <v>32493</v>
      </c>
      <c r="BE130" s="436">
        <v>33591</v>
      </c>
      <c r="BF130" s="436">
        <v>31886</v>
      </c>
      <c r="BG130" s="436">
        <v>31790</v>
      </c>
      <c r="BH130" s="436">
        <v>33123</v>
      </c>
      <c r="BI130" s="436">
        <v>30570</v>
      </c>
      <c r="BJ130" s="436">
        <v>29364</v>
      </c>
      <c r="BK130" s="436">
        <v>32113</v>
      </c>
      <c r="BL130" s="436">
        <v>33246</v>
      </c>
      <c r="BM130" s="436">
        <v>31536</v>
      </c>
      <c r="BN130" s="436">
        <v>35049</v>
      </c>
      <c r="BO130" s="436">
        <v>32579</v>
      </c>
      <c r="BP130" s="436">
        <v>32765</v>
      </c>
      <c r="BQ130" s="436">
        <v>34455</v>
      </c>
      <c r="BR130" s="436">
        <v>33559</v>
      </c>
      <c r="BS130" s="436">
        <v>35351</v>
      </c>
      <c r="BT130" s="436">
        <v>35834</v>
      </c>
      <c r="BU130" s="436">
        <v>33037</v>
      </c>
      <c r="BV130" s="436">
        <v>33349</v>
      </c>
      <c r="BW130" s="436">
        <v>36601</v>
      </c>
      <c r="BX130" s="436">
        <v>37265</v>
      </c>
      <c r="BY130" s="436">
        <v>35326</v>
      </c>
      <c r="BZ130" s="436">
        <v>36937</v>
      </c>
      <c r="CA130" s="436">
        <v>35624</v>
      </c>
      <c r="CB130" s="436">
        <v>37192</v>
      </c>
      <c r="CC130" s="436">
        <v>40472</v>
      </c>
      <c r="CD130" s="436">
        <v>37843</v>
      </c>
      <c r="CE130" s="436">
        <v>37002</v>
      </c>
      <c r="CF130" s="436">
        <v>38432</v>
      </c>
      <c r="CG130" s="436">
        <v>33386</v>
      </c>
      <c r="CH130" s="436">
        <v>34867</v>
      </c>
      <c r="CI130" s="436">
        <v>35842</v>
      </c>
      <c r="CJ130" s="436">
        <v>34983</v>
      </c>
      <c r="CK130" s="436">
        <v>36969</v>
      </c>
      <c r="CL130" s="436">
        <v>36748</v>
      </c>
      <c r="CM130" s="436">
        <v>39786</v>
      </c>
      <c r="CN130" s="436">
        <v>40846</v>
      </c>
      <c r="CO130" s="436">
        <v>40791</v>
      </c>
      <c r="CP130" s="436">
        <v>42443</v>
      </c>
      <c r="CQ130" s="436">
        <v>45029</v>
      </c>
      <c r="CR130" s="436">
        <v>41600</v>
      </c>
      <c r="CS130" s="436">
        <v>38402</v>
      </c>
      <c r="CT130" s="436">
        <v>36023</v>
      </c>
      <c r="CU130" s="436">
        <v>36766</v>
      </c>
      <c r="CV130" s="436">
        <v>37196</v>
      </c>
      <c r="CW130" s="436">
        <v>36164</v>
      </c>
      <c r="CX130" s="436">
        <v>36112</v>
      </c>
      <c r="CY130" s="436">
        <v>35583</v>
      </c>
      <c r="CZ130" s="436">
        <v>35037</v>
      </c>
      <c r="DA130" s="436">
        <v>34849</v>
      </c>
      <c r="DB130" s="436">
        <v>34740</v>
      </c>
      <c r="DC130" s="436">
        <v>36353</v>
      </c>
      <c r="DD130" s="436">
        <v>34485</v>
      </c>
      <c r="DE130" s="436">
        <v>34357</v>
      </c>
      <c r="DF130" s="436">
        <v>31965</v>
      </c>
      <c r="DG130" s="436">
        <v>36084</v>
      </c>
      <c r="DH130" s="436">
        <v>38414</v>
      </c>
      <c r="DI130" s="436">
        <v>37787</v>
      </c>
      <c r="DJ130" s="436">
        <v>39631</v>
      </c>
      <c r="DK130" s="436">
        <v>40262</v>
      </c>
      <c r="DL130" s="436">
        <v>43361</v>
      </c>
      <c r="DM130" s="436">
        <v>43791</v>
      </c>
      <c r="DN130" s="436">
        <v>43999</v>
      </c>
      <c r="DO130" s="436">
        <v>46173</v>
      </c>
      <c r="DP130" s="436">
        <v>47576</v>
      </c>
      <c r="DQ130" s="436">
        <v>41520</v>
      </c>
      <c r="DR130" s="436">
        <v>43525</v>
      </c>
      <c r="DS130" s="436">
        <v>45696</v>
      </c>
      <c r="DT130" s="436">
        <v>49039</v>
      </c>
      <c r="DU130" s="436">
        <v>47403</v>
      </c>
      <c r="DV130" s="436">
        <v>53019</v>
      </c>
      <c r="DW130" s="436">
        <v>52141</v>
      </c>
      <c r="DX130" s="436">
        <v>50353</v>
      </c>
      <c r="DY130" s="436">
        <v>52302</v>
      </c>
      <c r="DZ130" s="436">
        <v>53987</v>
      </c>
      <c r="EA130" s="436">
        <v>52772</v>
      </c>
      <c r="EB130" s="436">
        <v>55769</v>
      </c>
      <c r="EC130" s="436">
        <v>48913</v>
      </c>
      <c r="ED130" s="436">
        <v>55758</v>
      </c>
      <c r="EE130" s="436">
        <v>60209</v>
      </c>
      <c r="EF130" s="436">
        <v>61924</v>
      </c>
      <c r="EG130" s="436">
        <v>63149</v>
      </c>
      <c r="EH130" s="436">
        <v>61907</v>
      </c>
      <c r="EI130" s="436">
        <v>59792</v>
      </c>
      <c r="EJ130" s="436">
        <v>63061</v>
      </c>
      <c r="EK130" s="436">
        <v>63458</v>
      </c>
      <c r="EL130" s="436">
        <v>60296</v>
      </c>
      <c r="EM130" s="436">
        <v>59778</v>
      </c>
      <c r="EN130" s="436">
        <v>58510</v>
      </c>
      <c r="EO130" s="436">
        <v>55444</v>
      </c>
      <c r="EP130" s="436">
        <v>57260</v>
      </c>
      <c r="EQ130" s="436">
        <v>63162</v>
      </c>
      <c r="ER130" s="436">
        <v>62266</v>
      </c>
      <c r="ES130" s="436">
        <v>63496</v>
      </c>
      <c r="ET130" s="436">
        <v>64470</v>
      </c>
      <c r="EU130" s="436">
        <v>65620</v>
      </c>
      <c r="EV130" s="436">
        <v>68206</v>
      </c>
      <c r="EW130" s="436">
        <v>66123</v>
      </c>
      <c r="EX130" s="436">
        <v>63398</v>
      </c>
      <c r="EY130" s="436">
        <v>63130</v>
      </c>
      <c r="EZ130" s="436">
        <v>64476</v>
      </c>
      <c r="FA130" s="436">
        <v>57038</v>
      </c>
      <c r="FB130" s="436">
        <v>54640</v>
      </c>
      <c r="FC130" s="436">
        <v>61171</v>
      </c>
      <c r="FD130" s="436">
        <v>62031</v>
      </c>
      <c r="FE130" s="436">
        <v>61986</v>
      </c>
      <c r="FF130" s="436">
        <v>62567</v>
      </c>
      <c r="FG130" s="436">
        <v>60270</v>
      </c>
      <c r="FH130" s="436">
        <v>63870</v>
      </c>
      <c r="FI130" s="436">
        <v>63391</v>
      </c>
      <c r="FJ130" s="436">
        <v>64930</v>
      </c>
      <c r="FK130" s="436">
        <v>64061</v>
      </c>
      <c r="FL130" s="436">
        <v>65497</v>
      </c>
      <c r="FM130" s="436">
        <v>58733</v>
      </c>
      <c r="FN130" s="436">
        <v>55347</v>
      </c>
      <c r="FO130" s="436">
        <v>60615</v>
      </c>
      <c r="FP130" s="436">
        <v>60712</v>
      </c>
      <c r="FQ130" s="436">
        <v>59081</v>
      </c>
      <c r="FR130" s="436">
        <v>57433</v>
      </c>
      <c r="FS130" s="436">
        <v>55286</v>
      </c>
      <c r="FT130" s="436">
        <v>58384</v>
      </c>
      <c r="FU130" s="436">
        <v>59683</v>
      </c>
      <c r="FV130" s="436">
        <v>60136</v>
      </c>
      <c r="FW130" s="436">
        <v>63467</v>
      </c>
      <c r="FX130" s="436">
        <v>62765</v>
      </c>
      <c r="FY130" s="436">
        <v>57080</v>
      </c>
      <c r="FZ130" s="436">
        <v>55334</v>
      </c>
      <c r="GA130" s="436">
        <v>59481</v>
      </c>
      <c r="GB130" s="436">
        <v>58513</v>
      </c>
      <c r="GC130" s="436">
        <v>57883</v>
      </c>
      <c r="GD130" s="436">
        <v>62281</v>
      </c>
      <c r="GE130" s="436">
        <v>59579</v>
      </c>
      <c r="GF130" s="436">
        <v>63079</v>
      </c>
      <c r="GG130" s="436">
        <v>63356</v>
      </c>
      <c r="GH130" s="436">
        <v>59723</v>
      </c>
      <c r="GI130" s="436">
        <v>63968</v>
      </c>
      <c r="GJ130" s="436">
        <v>66009</v>
      </c>
      <c r="GK130" s="437">
        <v>58180</v>
      </c>
    </row>
    <row r="133" spans="1:193" ht="15.75" thickBot="1">
      <c r="A133" s="357" t="s">
        <v>331</v>
      </c>
    </row>
    <row r="134" spans="1:193" ht="15.75" thickBot="1">
      <c r="A134" s="26" t="s">
        <v>177</v>
      </c>
      <c r="B134" s="230">
        <v>36892</v>
      </c>
      <c r="C134" s="230">
        <v>36923</v>
      </c>
      <c r="D134" s="230">
        <v>36951</v>
      </c>
      <c r="E134" s="230">
        <v>36982</v>
      </c>
      <c r="F134" s="230">
        <v>37012</v>
      </c>
      <c r="G134" s="230">
        <v>37043</v>
      </c>
      <c r="H134" s="230">
        <v>37073</v>
      </c>
      <c r="I134" s="230">
        <v>37104</v>
      </c>
      <c r="J134" s="230">
        <v>37135</v>
      </c>
      <c r="K134" s="230">
        <v>37165</v>
      </c>
      <c r="L134" s="230">
        <v>37196</v>
      </c>
      <c r="M134" s="230">
        <v>37226</v>
      </c>
      <c r="N134" s="230">
        <v>37257</v>
      </c>
      <c r="O134" s="230">
        <v>37288</v>
      </c>
      <c r="P134" s="230">
        <v>37316</v>
      </c>
      <c r="Q134" s="230">
        <v>37347</v>
      </c>
      <c r="R134" s="230">
        <v>37377</v>
      </c>
      <c r="S134" s="230">
        <v>37408</v>
      </c>
      <c r="T134" s="230">
        <v>37438</v>
      </c>
      <c r="U134" s="230">
        <v>37469</v>
      </c>
      <c r="V134" s="230">
        <v>37500</v>
      </c>
      <c r="W134" s="230">
        <v>37530</v>
      </c>
      <c r="X134" s="230">
        <v>37561</v>
      </c>
      <c r="Y134" s="230">
        <v>37591</v>
      </c>
      <c r="Z134" s="230">
        <v>37622</v>
      </c>
      <c r="AA134" s="230">
        <v>37653</v>
      </c>
      <c r="AB134" s="230">
        <v>37681</v>
      </c>
      <c r="AC134" s="230">
        <v>37712</v>
      </c>
      <c r="AD134" s="230">
        <v>37742</v>
      </c>
      <c r="AE134" s="230">
        <v>37773</v>
      </c>
      <c r="AF134" s="230">
        <v>37803</v>
      </c>
      <c r="AG134" s="230">
        <v>37834</v>
      </c>
      <c r="AH134" s="230">
        <v>37865</v>
      </c>
      <c r="AI134" s="230">
        <v>37895</v>
      </c>
      <c r="AJ134" s="230">
        <v>37926</v>
      </c>
      <c r="AK134" s="230">
        <v>37956</v>
      </c>
      <c r="AL134" s="230">
        <v>37987</v>
      </c>
      <c r="AM134" s="230">
        <v>38018</v>
      </c>
      <c r="AN134" s="230">
        <v>38047</v>
      </c>
      <c r="AO134" s="230">
        <v>38078</v>
      </c>
      <c r="AP134" s="230">
        <v>38108</v>
      </c>
      <c r="AQ134" s="230">
        <v>38139</v>
      </c>
      <c r="AR134" s="230">
        <v>38169</v>
      </c>
      <c r="AS134" s="230">
        <v>38200</v>
      </c>
      <c r="AT134" s="230">
        <v>38231</v>
      </c>
      <c r="AU134" s="230">
        <v>38261</v>
      </c>
      <c r="AV134" s="230">
        <v>38292</v>
      </c>
      <c r="AW134" s="230">
        <v>38322</v>
      </c>
      <c r="AX134" s="230">
        <v>38353</v>
      </c>
      <c r="AY134" s="230">
        <v>38384</v>
      </c>
      <c r="AZ134" s="230">
        <v>38412</v>
      </c>
      <c r="BA134" s="230">
        <v>38443</v>
      </c>
      <c r="BB134" s="230">
        <v>38473</v>
      </c>
      <c r="BC134" s="230">
        <v>38504</v>
      </c>
      <c r="BD134" s="230">
        <v>38534</v>
      </c>
      <c r="BE134" s="230">
        <v>38565</v>
      </c>
      <c r="BF134" s="230">
        <v>38596</v>
      </c>
      <c r="BG134" s="230">
        <v>38626</v>
      </c>
      <c r="BH134" s="230">
        <v>38657</v>
      </c>
      <c r="BI134" s="230">
        <v>38687</v>
      </c>
      <c r="BJ134" s="230">
        <v>38718</v>
      </c>
      <c r="BK134" s="230">
        <v>38749</v>
      </c>
      <c r="BL134" s="230">
        <v>38777</v>
      </c>
      <c r="BM134" s="230">
        <v>38808</v>
      </c>
      <c r="BN134" s="230">
        <v>38838</v>
      </c>
      <c r="BO134" s="230">
        <v>38869</v>
      </c>
      <c r="BP134" s="230">
        <v>38899</v>
      </c>
      <c r="BQ134" s="230">
        <v>38930</v>
      </c>
      <c r="BR134" s="230">
        <v>38961</v>
      </c>
      <c r="BS134" s="230">
        <v>38991</v>
      </c>
      <c r="BT134" s="230">
        <v>39022</v>
      </c>
      <c r="BU134" s="230">
        <v>39052</v>
      </c>
      <c r="BV134" s="230">
        <v>39083</v>
      </c>
      <c r="BW134" s="230">
        <v>39114</v>
      </c>
      <c r="BX134" s="230">
        <v>39142</v>
      </c>
      <c r="BY134" s="230">
        <v>39173</v>
      </c>
      <c r="BZ134" s="230">
        <v>39203</v>
      </c>
      <c r="CA134" s="230">
        <v>39234</v>
      </c>
      <c r="CB134" s="230">
        <v>39264</v>
      </c>
      <c r="CC134" s="230">
        <v>39295</v>
      </c>
      <c r="CD134" s="230">
        <v>39326</v>
      </c>
      <c r="CE134" s="230">
        <v>39356</v>
      </c>
      <c r="CF134" s="438">
        <v>39387</v>
      </c>
      <c r="CG134" s="438">
        <v>39417</v>
      </c>
      <c r="CH134" s="438">
        <v>39448</v>
      </c>
      <c r="CI134" s="438">
        <v>39479</v>
      </c>
      <c r="CJ134" s="438">
        <v>39508</v>
      </c>
      <c r="CK134" s="438">
        <v>39539</v>
      </c>
      <c r="CL134" s="438">
        <v>39569</v>
      </c>
      <c r="CM134" s="438">
        <v>39600</v>
      </c>
      <c r="CN134" s="438">
        <v>39630</v>
      </c>
      <c r="CO134" s="438">
        <v>39661</v>
      </c>
      <c r="CP134" s="438">
        <v>39692</v>
      </c>
      <c r="CQ134" s="438">
        <v>39722</v>
      </c>
      <c r="CR134" s="438">
        <v>39753</v>
      </c>
      <c r="CS134" s="438">
        <v>39783</v>
      </c>
      <c r="CT134" s="438">
        <v>39814</v>
      </c>
      <c r="CU134" s="438">
        <v>39845</v>
      </c>
      <c r="CV134" s="438">
        <v>39873</v>
      </c>
      <c r="CW134" s="438">
        <v>39904</v>
      </c>
      <c r="CX134" s="438">
        <v>39934</v>
      </c>
      <c r="CY134" s="438">
        <v>39965</v>
      </c>
      <c r="CZ134" s="438">
        <v>39995</v>
      </c>
      <c r="DA134" s="438">
        <v>40026</v>
      </c>
      <c r="DB134" s="438">
        <v>40057</v>
      </c>
      <c r="DC134" s="438">
        <v>40087</v>
      </c>
      <c r="DD134" s="438">
        <v>40118</v>
      </c>
      <c r="DE134" s="438">
        <v>40148</v>
      </c>
      <c r="DF134" s="438">
        <v>40179</v>
      </c>
      <c r="DG134" s="438">
        <v>40210</v>
      </c>
      <c r="DH134" s="438">
        <v>40238</v>
      </c>
      <c r="DI134" s="438">
        <v>40269</v>
      </c>
      <c r="DJ134" s="438">
        <v>40299</v>
      </c>
      <c r="DK134" s="438">
        <v>40330</v>
      </c>
      <c r="DL134" s="438">
        <v>40360</v>
      </c>
      <c r="DM134" s="438">
        <v>40391</v>
      </c>
      <c r="DN134" s="438">
        <v>40422</v>
      </c>
      <c r="DO134" s="438">
        <v>40452</v>
      </c>
      <c r="DP134" s="438">
        <v>40483</v>
      </c>
      <c r="DQ134" s="438">
        <v>40513</v>
      </c>
      <c r="DR134" s="438">
        <v>40544</v>
      </c>
      <c r="DS134" s="438">
        <v>40575</v>
      </c>
      <c r="DT134" s="438">
        <v>40603</v>
      </c>
      <c r="DU134" s="438">
        <v>40634</v>
      </c>
      <c r="DV134" s="438">
        <v>40664</v>
      </c>
      <c r="DW134" s="438">
        <v>40695</v>
      </c>
      <c r="DX134" s="438">
        <v>40725</v>
      </c>
      <c r="DY134" s="438">
        <v>40756</v>
      </c>
      <c r="DZ134" s="438">
        <v>40787</v>
      </c>
      <c r="EA134" s="438">
        <v>40817</v>
      </c>
      <c r="EB134" s="438">
        <v>40848</v>
      </c>
      <c r="EC134" s="438">
        <v>40878</v>
      </c>
      <c r="ED134" s="438">
        <v>40909</v>
      </c>
      <c r="EE134" s="438">
        <v>40940</v>
      </c>
      <c r="EF134" s="438">
        <v>40969</v>
      </c>
      <c r="EG134" s="438">
        <v>41000</v>
      </c>
      <c r="EH134" s="438">
        <v>41030</v>
      </c>
      <c r="EI134" s="438">
        <v>41061</v>
      </c>
      <c r="EJ134" s="438">
        <v>41091</v>
      </c>
      <c r="EK134" s="438">
        <v>41122</v>
      </c>
      <c r="EL134" s="438">
        <v>41153</v>
      </c>
      <c r="EM134" s="438">
        <v>41183</v>
      </c>
      <c r="EN134" s="438">
        <v>41214</v>
      </c>
      <c r="EO134" s="438">
        <v>41244</v>
      </c>
      <c r="EP134" s="438">
        <v>41275</v>
      </c>
      <c r="EQ134" s="438">
        <v>41306</v>
      </c>
      <c r="ER134" s="438">
        <v>41334</v>
      </c>
      <c r="ES134" s="438">
        <v>41365</v>
      </c>
      <c r="ET134" s="438">
        <v>41395</v>
      </c>
      <c r="EU134" s="438">
        <v>41426</v>
      </c>
      <c r="EV134" s="438">
        <v>41456</v>
      </c>
      <c r="EW134" s="438">
        <v>41487</v>
      </c>
      <c r="EX134" s="438">
        <v>41518</v>
      </c>
      <c r="EY134" s="438">
        <v>41548</v>
      </c>
      <c r="EZ134" s="438">
        <v>41579</v>
      </c>
      <c r="FA134" s="438">
        <v>41609</v>
      </c>
      <c r="FB134" s="438">
        <v>41640</v>
      </c>
      <c r="FC134" s="438">
        <v>41671</v>
      </c>
      <c r="FD134" s="438">
        <v>41699</v>
      </c>
      <c r="FE134" s="438">
        <v>41730</v>
      </c>
      <c r="FF134" s="438">
        <v>41760</v>
      </c>
      <c r="FG134" s="438">
        <v>41791</v>
      </c>
      <c r="FH134" s="438">
        <v>41821</v>
      </c>
      <c r="FI134" s="438">
        <v>41852</v>
      </c>
      <c r="FJ134" s="438">
        <v>41883</v>
      </c>
      <c r="FK134" s="438">
        <v>41913</v>
      </c>
      <c r="FL134" s="438">
        <v>41944</v>
      </c>
      <c r="FM134" s="438">
        <v>41974</v>
      </c>
      <c r="FN134" s="438">
        <v>42005</v>
      </c>
      <c r="FO134" s="438">
        <v>42036</v>
      </c>
      <c r="FP134" s="438">
        <v>42064</v>
      </c>
      <c r="FQ134" s="438">
        <v>42095</v>
      </c>
      <c r="FR134" s="438">
        <v>42125</v>
      </c>
      <c r="FS134" s="438">
        <v>42156</v>
      </c>
      <c r="FT134" s="438">
        <v>42186</v>
      </c>
      <c r="FU134" s="438">
        <v>42217</v>
      </c>
      <c r="FV134" s="438">
        <v>42248</v>
      </c>
      <c r="FW134" s="438">
        <v>42278</v>
      </c>
      <c r="FX134" s="438">
        <v>42309</v>
      </c>
      <c r="FY134" s="438">
        <v>42339</v>
      </c>
      <c r="FZ134" s="438">
        <v>42370</v>
      </c>
      <c r="GA134" s="438">
        <v>42401</v>
      </c>
      <c r="GB134" s="438">
        <v>42430</v>
      </c>
      <c r="GC134" s="438">
        <v>42461</v>
      </c>
      <c r="GD134" s="438">
        <v>42491</v>
      </c>
      <c r="GE134" s="438">
        <v>42522</v>
      </c>
      <c r="GF134" s="438">
        <v>42552</v>
      </c>
      <c r="GG134" s="438">
        <v>42583</v>
      </c>
      <c r="GH134" s="438">
        <v>42614</v>
      </c>
      <c r="GI134" s="438">
        <v>42644</v>
      </c>
      <c r="GJ134" s="438">
        <v>42675</v>
      </c>
      <c r="GK134" s="438">
        <v>42705</v>
      </c>
    </row>
    <row r="135" spans="1:193">
      <c r="A135" s="231" t="s">
        <v>337</v>
      </c>
      <c r="B135" s="348">
        <v>1116</v>
      </c>
      <c r="C135" s="348">
        <v>1074</v>
      </c>
      <c r="D135" s="348">
        <v>1044</v>
      </c>
      <c r="E135" s="348">
        <v>1085</v>
      </c>
      <c r="F135" s="348">
        <v>1111</v>
      </c>
      <c r="G135" s="348">
        <v>1122</v>
      </c>
      <c r="H135" s="348">
        <v>1161</v>
      </c>
      <c r="I135" s="348">
        <v>1140</v>
      </c>
      <c r="J135" s="348">
        <v>1129</v>
      </c>
      <c r="K135" s="348">
        <v>1121</v>
      </c>
      <c r="L135" s="348">
        <v>1134</v>
      </c>
      <c r="M135" s="348">
        <v>997</v>
      </c>
      <c r="N135" s="348">
        <v>1007</v>
      </c>
      <c r="O135" s="348">
        <v>1049</v>
      </c>
      <c r="P135" s="348">
        <v>992</v>
      </c>
      <c r="Q135" s="348">
        <v>1066</v>
      </c>
      <c r="R135" s="348">
        <v>1133</v>
      </c>
      <c r="S135" s="348">
        <v>1071</v>
      </c>
      <c r="T135" s="348">
        <v>1072</v>
      </c>
      <c r="U135" s="348">
        <v>989</v>
      </c>
      <c r="V135" s="348">
        <v>1029</v>
      </c>
      <c r="W135" s="348">
        <v>1171</v>
      </c>
      <c r="X135" s="348">
        <v>1264</v>
      </c>
      <c r="Y135" s="348">
        <v>1228</v>
      </c>
      <c r="Z135" s="348">
        <v>1187</v>
      </c>
      <c r="AA135" s="348">
        <v>1154</v>
      </c>
      <c r="AB135" s="348">
        <v>1190</v>
      </c>
      <c r="AC135" s="348">
        <v>1159</v>
      </c>
      <c r="AD135" s="348">
        <v>1194</v>
      </c>
      <c r="AE135" s="348">
        <v>1121</v>
      </c>
      <c r="AF135" s="348">
        <v>1212</v>
      </c>
      <c r="AG135" s="348">
        <v>1176</v>
      </c>
      <c r="AH135" s="348">
        <v>1193</v>
      </c>
      <c r="AI135" s="348">
        <v>1140</v>
      </c>
      <c r="AJ135" s="348">
        <v>759</v>
      </c>
      <c r="AK135" s="348">
        <v>708</v>
      </c>
      <c r="AL135" s="348">
        <v>724</v>
      </c>
      <c r="AM135" s="348">
        <v>768</v>
      </c>
      <c r="AN135" s="348">
        <v>718</v>
      </c>
      <c r="AO135" s="348">
        <v>725</v>
      </c>
      <c r="AP135" s="348">
        <v>916</v>
      </c>
      <c r="AQ135" s="348">
        <v>933</v>
      </c>
      <c r="AR135" s="348">
        <v>857</v>
      </c>
      <c r="AS135" s="348">
        <v>1019</v>
      </c>
      <c r="AT135" s="348">
        <v>1064</v>
      </c>
      <c r="AU135" s="348">
        <v>1033</v>
      </c>
      <c r="AV135" s="348">
        <v>1116</v>
      </c>
      <c r="AW135" s="348">
        <v>1150</v>
      </c>
      <c r="AX135" s="348">
        <v>1010</v>
      </c>
      <c r="AY135" s="348">
        <v>1335</v>
      </c>
      <c r="AZ135" s="348">
        <v>1108</v>
      </c>
      <c r="BA135" s="348">
        <v>1142</v>
      </c>
      <c r="BB135" s="348">
        <v>1163</v>
      </c>
      <c r="BC135" s="348">
        <v>1350</v>
      </c>
      <c r="BD135" s="348">
        <v>1561</v>
      </c>
      <c r="BE135" s="348">
        <v>1717</v>
      </c>
      <c r="BF135" s="348">
        <v>1786</v>
      </c>
      <c r="BG135" s="348">
        <v>1918</v>
      </c>
      <c r="BH135" s="348">
        <v>1900</v>
      </c>
      <c r="BI135" s="348">
        <v>2008</v>
      </c>
      <c r="BJ135" s="348">
        <v>2059</v>
      </c>
      <c r="BK135" s="348">
        <v>1871</v>
      </c>
      <c r="BL135" s="348">
        <v>1940</v>
      </c>
      <c r="BM135" s="348">
        <v>1823</v>
      </c>
      <c r="BN135" s="348">
        <v>1992</v>
      </c>
      <c r="BO135" s="348">
        <v>1998</v>
      </c>
      <c r="BP135" s="348">
        <v>1973</v>
      </c>
      <c r="BQ135" s="348">
        <v>2056</v>
      </c>
      <c r="BR135" s="348">
        <v>2259</v>
      </c>
      <c r="BS135" s="348">
        <v>2185</v>
      </c>
      <c r="BT135" s="348">
        <v>2232</v>
      </c>
      <c r="BU135" s="348">
        <v>1871</v>
      </c>
      <c r="BV135" s="348">
        <v>1987</v>
      </c>
      <c r="BW135" s="348">
        <v>2034</v>
      </c>
      <c r="BX135" s="348">
        <v>2225</v>
      </c>
      <c r="BY135" s="348">
        <v>2134</v>
      </c>
      <c r="BZ135" s="348">
        <v>2258</v>
      </c>
      <c r="CA135" s="348">
        <v>2253</v>
      </c>
      <c r="CB135" s="348">
        <v>2201</v>
      </c>
      <c r="CC135" s="348">
        <v>2509</v>
      </c>
      <c r="CD135" s="348">
        <v>2230</v>
      </c>
      <c r="CE135" s="348">
        <v>2322</v>
      </c>
      <c r="CF135" s="441">
        <v>2406</v>
      </c>
      <c r="CG135" s="441">
        <v>2328</v>
      </c>
      <c r="CH135" s="441">
        <v>2356</v>
      </c>
      <c r="CI135" s="441">
        <v>2387</v>
      </c>
      <c r="CJ135" s="441">
        <v>2495</v>
      </c>
      <c r="CK135" s="441">
        <v>2525</v>
      </c>
      <c r="CL135" s="441">
        <v>2389</v>
      </c>
      <c r="CM135" s="441">
        <v>2439</v>
      </c>
      <c r="CN135" s="441">
        <v>2557</v>
      </c>
      <c r="CO135" s="441">
        <v>1937</v>
      </c>
      <c r="CP135" s="441">
        <v>2267</v>
      </c>
      <c r="CQ135" s="441">
        <v>2404</v>
      </c>
      <c r="CR135" s="441">
        <v>2315</v>
      </c>
      <c r="CS135" s="441">
        <v>2168</v>
      </c>
      <c r="CT135" s="441">
        <v>1834</v>
      </c>
      <c r="CU135" s="441">
        <v>1560</v>
      </c>
      <c r="CV135" s="441">
        <v>1511</v>
      </c>
      <c r="CW135" s="441">
        <v>1509</v>
      </c>
      <c r="CX135" s="441">
        <v>1554</v>
      </c>
      <c r="CY135" s="441">
        <v>1506</v>
      </c>
      <c r="CZ135" s="441">
        <v>1659</v>
      </c>
      <c r="DA135" s="441">
        <v>1573</v>
      </c>
      <c r="DB135" s="441">
        <v>1663</v>
      </c>
      <c r="DC135" s="441">
        <v>1801</v>
      </c>
      <c r="DD135" s="441">
        <v>1749</v>
      </c>
      <c r="DE135" s="441">
        <v>1801</v>
      </c>
      <c r="DF135" s="441">
        <v>1762</v>
      </c>
      <c r="DG135" s="441">
        <v>2063</v>
      </c>
      <c r="DH135" s="441">
        <v>2227</v>
      </c>
      <c r="DI135" s="441">
        <v>2265</v>
      </c>
      <c r="DJ135" s="441">
        <v>2279</v>
      </c>
      <c r="DK135" s="441">
        <v>2310</v>
      </c>
      <c r="DL135" s="441">
        <v>2289</v>
      </c>
      <c r="DM135" s="441">
        <v>2218</v>
      </c>
      <c r="DN135" s="441">
        <v>2420</v>
      </c>
      <c r="DO135" s="441">
        <v>2263</v>
      </c>
      <c r="DP135" s="441">
        <v>2135</v>
      </c>
      <c r="DQ135" s="441">
        <v>2179</v>
      </c>
      <c r="DR135" s="441">
        <v>2125</v>
      </c>
      <c r="DS135" s="441">
        <v>2179</v>
      </c>
      <c r="DT135" s="441">
        <v>2469</v>
      </c>
      <c r="DU135" s="441">
        <v>2418</v>
      </c>
      <c r="DV135" s="441">
        <v>2536</v>
      </c>
      <c r="DW135" s="441">
        <v>2558</v>
      </c>
      <c r="DX135" s="441">
        <v>2541</v>
      </c>
      <c r="DY135" s="441">
        <v>2772</v>
      </c>
      <c r="DZ135" s="441">
        <v>2851</v>
      </c>
      <c r="EA135" s="441">
        <v>2677</v>
      </c>
      <c r="EB135" s="441">
        <v>2940</v>
      </c>
      <c r="EC135" s="441">
        <v>2873</v>
      </c>
      <c r="ED135" s="441">
        <v>2989</v>
      </c>
      <c r="EE135" s="441">
        <v>2959</v>
      </c>
      <c r="EF135" s="441">
        <v>2988</v>
      </c>
      <c r="EG135" s="441">
        <v>3135</v>
      </c>
      <c r="EH135" s="441">
        <v>3064</v>
      </c>
      <c r="EI135" s="441">
        <v>3103</v>
      </c>
      <c r="EJ135" s="441">
        <v>3153</v>
      </c>
      <c r="EK135" s="441">
        <v>3221</v>
      </c>
      <c r="EL135" s="441">
        <v>3201</v>
      </c>
      <c r="EM135" s="441">
        <v>3072</v>
      </c>
      <c r="EN135" s="441">
        <v>2884</v>
      </c>
      <c r="EO135" s="441">
        <v>2705</v>
      </c>
      <c r="EP135" s="441">
        <v>2596</v>
      </c>
      <c r="EQ135" s="441">
        <v>2818</v>
      </c>
      <c r="ER135" s="441">
        <v>2946</v>
      </c>
      <c r="ES135" s="441">
        <v>2896</v>
      </c>
      <c r="ET135" s="441">
        <v>2833</v>
      </c>
      <c r="EU135" s="441">
        <v>2715</v>
      </c>
      <c r="EV135" s="441">
        <v>2963</v>
      </c>
      <c r="EW135" s="441">
        <v>2950</v>
      </c>
      <c r="EX135" s="441">
        <v>2736</v>
      </c>
      <c r="EY135" s="441">
        <v>2767</v>
      </c>
      <c r="EZ135" s="441">
        <v>2646</v>
      </c>
      <c r="FA135" s="441">
        <v>2788</v>
      </c>
      <c r="FB135" s="441">
        <v>2614</v>
      </c>
      <c r="FC135" s="441">
        <v>2729</v>
      </c>
      <c r="FD135" s="441">
        <v>2836</v>
      </c>
      <c r="FE135" s="441">
        <v>2264</v>
      </c>
      <c r="FF135" s="441">
        <v>2373</v>
      </c>
      <c r="FG135" s="441">
        <v>2124</v>
      </c>
      <c r="FH135" s="441">
        <v>2326</v>
      </c>
      <c r="FI135" s="441">
        <v>2642</v>
      </c>
      <c r="FJ135" s="441">
        <v>2528</v>
      </c>
      <c r="FK135" s="441">
        <v>2476</v>
      </c>
      <c r="FL135" s="441">
        <v>2619</v>
      </c>
      <c r="FM135" s="441">
        <v>2565</v>
      </c>
      <c r="FN135" s="441">
        <v>2509</v>
      </c>
      <c r="FO135" s="441">
        <v>2564</v>
      </c>
      <c r="FP135" s="441">
        <v>2533</v>
      </c>
      <c r="FQ135" s="441">
        <v>2597</v>
      </c>
      <c r="FR135" s="441">
        <v>2565</v>
      </c>
      <c r="FS135" s="441">
        <v>2452</v>
      </c>
      <c r="FT135" s="441">
        <v>2711</v>
      </c>
      <c r="FU135" s="441">
        <v>2493</v>
      </c>
      <c r="FV135" s="441">
        <v>2366</v>
      </c>
      <c r="FW135" s="441">
        <v>2509</v>
      </c>
      <c r="FX135" s="441">
        <v>2362</v>
      </c>
      <c r="FY135" s="441">
        <v>2326</v>
      </c>
      <c r="FZ135" s="441">
        <v>2364</v>
      </c>
      <c r="GA135" s="441">
        <v>2422</v>
      </c>
      <c r="GB135" s="441">
        <v>2337</v>
      </c>
      <c r="GC135" s="441">
        <v>1978</v>
      </c>
      <c r="GD135" s="441">
        <v>2254</v>
      </c>
      <c r="GE135" s="441">
        <v>2178</v>
      </c>
      <c r="GF135" s="441">
        <v>2194</v>
      </c>
      <c r="GG135" s="441">
        <v>2245</v>
      </c>
      <c r="GH135" s="441">
        <v>2318</v>
      </c>
      <c r="GI135" s="441">
        <v>2281</v>
      </c>
      <c r="GJ135" s="441">
        <v>1935</v>
      </c>
      <c r="GK135" s="430">
        <v>2196</v>
      </c>
    </row>
    <row r="136" spans="1:193">
      <c r="A136" s="231" t="s">
        <v>240</v>
      </c>
      <c r="B136" s="442">
        <v>6261</v>
      </c>
      <c r="C136" s="442">
        <v>5996</v>
      </c>
      <c r="D136" s="442">
        <v>6288</v>
      </c>
      <c r="E136" s="442">
        <v>6127</v>
      </c>
      <c r="F136" s="442">
        <v>6190</v>
      </c>
      <c r="G136" s="442">
        <v>6506</v>
      </c>
      <c r="H136" s="442">
        <v>6541</v>
      </c>
      <c r="I136" s="442">
        <v>6381</v>
      </c>
      <c r="J136" s="442">
        <v>6304</v>
      </c>
      <c r="K136" s="442">
        <v>6353</v>
      </c>
      <c r="L136" s="442">
        <v>6297</v>
      </c>
      <c r="M136" s="442">
        <v>7146</v>
      </c>
      <c r="N136" s="442">
        <v>6210</v>
      </c>
      <c r="O136" s="442">
        <v>6343</v>
      </c>
      <c r="P136" s="442">
        <v>6345</v>
      </c>
      <c r="Q136" s="442">
        <v>6422</v>
      </c>
      <c r="R136" s="442">
        <v>6497</v>
      </c>
      <c r="S136" s="442">
        <v>6485</v>
      </c>
      <c r="T136" s="442">
        <v>6748</v>
      </c>
      <c r="U136" s="442">
        <v>6441</v>
      </c>
      <c r="V136" s="442">
        <v>6410</v>
      </c>
      <c r="W136" s="442">
        <v>6604</v>
      </c>
      <c r="X136" s="442">
        <v>6554</v>
      </c>
      <c r="Y136" s="442">
        <v>6550</v>
      </c>
      <c r="Z136" s="442">
        <v>6787</v>
      </c>
      <c r="AA136" s="442">
        <v>6669</v>
      </c>
      <c r="AB136" s="442">
        <v>6652</v>
      </c>
      <c r="AC136" s="442">
        <v>6749</v>
      </c>
      <c r="AD136" s="442">
        <v>6586</v>
      </c>
      <c r="AE136" s="442">
        <v>6774</v>
      </c>
      <c r="AF136" s="442">
        <v>6852</v>
      </c>
      <c r="AG136" s="442">
        <v>7030</v>
      </c>
      <c r="AH136" s="442">
        <v>6603</v>
      </c>
      <c r="AI136" s="442">
        <v>7028</v>
      </c>
      <c r="AJ136" s="442">
        <v>7012</v>
      </c>
      <c r="AK136" s="442">
        <v>6848</v>
      </c>
      <c r="AL136" s="442">
        <v>6694</v>
      </c>
      <c r="AM136" s="442">
        <v>6842</v>
      </c>
      <c r="AN136" s="442">
        <v>7211</v>
      </c>
      <c r="AO136" s="442">
        <v>6931</v>
      </c>
      <c r="AP136" s="442">
        <v>7109</v>
      </c>
      <c r="AQ136" s="442">
        <v>7302</v>
      </c>
      <c r="AR136" s="442">
        <v>7628</v>
      </c>
      <c r="AS136" s="442">
        <v>7615</v>
      </c>
      <c r="AT136" s="442">
        <v>7493</v>
      </c>
      <c r="AU136" s="442">
        <v>7543</v>
      </c>
      <c r="AV136" s="442">
        <v>7833</v>
      </c>
      <c r="AW136" s="442">
        <v>8591</v>
      </c>
      <c r="AX136" s="442">
        <v>8222</v>
      </c>
      <c r="AY136" s="442">
        <v>8429</v>
      </c>
      <c r="AZ136" s="442">
        <v>9195</v>
      </c>
      <c r="BA136" s="442">
        <v>9627</v>
      </c>
      <c r="BB136" s="442">
        <v>9803</v>
      </c>
      <c r="BC136" s="442">
        <v>9575</v>
      </c>
      <c r="BD136" s="442">
        <v>9862</v>
      </c>
      <c r="BE136" s="442">
        <v>9964</v>
      </c>
      <c r="BF136" s="442">
        <v>10106</v>
      </c>
      <c r="BG136" s="442">
        <v>10148</v>
      </c>
      <c r="BH136" s="442">
        <v>10435</v>
      </c>
      <c r="BI136" s="442">
        <v>10091</v>
      </c>
      <c r="BJ136" s="442">
        <v>9069</v>
      </c>
      <c r="BK136" s="442">
        <v>9984</v>
      </c>
      <c r="BL136" s="442">
        <v>10443</v>
      </c>
      <c r="BM136" s="442">
        <v>8302</v>
      </c>
      <c r="BN136" s="442">
        <v>9930</v>
      </c>
      <c r="BO136" s="442">
        <v>8755</v>
      </c>
      <c r="BP136" s="442">
        <v>8479</v>
      </c>
      <c r="BQ136" s="442">
        <v>8579</v>
      </c>
      <c r="BR136" s="442">
        <v>8248</v>
      </c>
      <c r="BS136" s="442">
        <v>8323</v>
      </c>
      <c r="BT136" s="442">
        <v>8550</v>
      </c>
      <c r="BU136" s="442">
        <v>8329</v>
      </c>
      <c r="BV136" s="442">
        <v>8312</v>
      </c>
      <c r="BW136" s="442">
        <v>8854</v>
      </c>
      <c r="BX136" s="442">
        <v>8746</v>
      </c>
      <c r="BY136" s="442">
        <v>8060</v>
      </c>
      <c r="BZ136" s="442">
        <v>8712</v>
      </c>
      <c r="CA136" s="442">
        <v>8552</v>
      </c>
      <c r="CB136" s="442">
        <v>8543</v>
      </c>
      <c r="CC136" s="442">
        <v>8613</v>
      </c>
      <c r="CD136" s="442">
        <v>8001</v>
      </c>
      <c r="CE136" s="442">
        <v>8650</v>
      </c>
      <c r="CF136" s="442">
        <v>8373</v>
      </c>
      <c r="CG136" s="442">
        <v>8197</v>
      </c>
      <c r="CH136" s="442">
        <v>8468</v>
      </c>
      <c r="CI136" s="442">
        <v>8539</v>
      </c>
      <c r="CJ136" s="442">
        <v>7926</v>
      </c>
      <c r="CK136" s="442">
        <v>7952</v>
      </c>
      <c r="CL136" s="442">
        <v>7889</v>
      </c>
      <c r="CM136" s="442">
        <v>8062</v>
      </c>
      <c r="CN136" s="442">
        <v>7996</v>
      </c>
      <c r="CO136" s="442">
        <v>7991</v>
      </c>
      <c r="CP136" s="442">
        <v>8085</v>
      </c>
      <c r="CQ136" s="442">
        <v>8267</v>
      </c>
      <c r="CR136" s="442">
        <v>8234</v>
      </c>
      <c r="CS136" s="442">
        <v>7963</v>
      </c>
      <c r="CT136" s="442">
        <v>8007</v>
      </c>
      <c r="CU136" s="442">
        <v>8782</v>
      </c>
      <c r="CV136" s="442">
        <v>8310</v>
      </c>
      <c r="CW136" s="442">
        <v>8040</v>
      </c>
      <c r="CX136" s="442">
        <v>8083</v>
      </c>
      <c r="CY136" s="442">
        <v>8087</v>
      </c>
      <c r="CZ136" s="442">
        <v>8290</v>
      </c>
      <c r="DA136" s="442">
        <v>8141</v>
      </c>
      <c r="DB136" s="442">
        <v>8612</v>
      </c>
      <c r="DC136" s="442">
        <v>8509</v>
      </c>
      <c r="DD136" s="442">
        <v>9002</v>
      </c>
      <c r="DE136" s="442">
        <v>8459</v>
      </c>
      <c r="DF136" s="442">
        <v>8733</v>
      </c>
      <c r="DG136" s="442">
        <v>9108</v>
      </c>
      <c r="DH136" s="442">
        <v>9146</v>
      </c>
      <c r="DI136" s="442">
        <v>8610</v>
      </c>
      <c r="DJ136" s="442">
        <v>9884</v>
      </c>
      <c r="DK136" s="442">
        <v>9346</v>
      </c>
      <c r="DL136" s="442">
        <v>9696</v>
      </c>
      <c r="DM136" s="442">
        <v>9766</v>
      </c>
      <c r="DN136" s="442">
        <v>9993</v>
      </c>
      <c r="DO136" s="442">
        <v>10358</v>
      </c>
      <c r="DP136" s="442">
        <v>11127</v>
      </c>
      <c r="DQ136" s="442">
        <v>10039</v>
      </c>
      <c r="DR136" s="442">
        <v>10150</v>
      </c>
      <c r="DS136" s="442">
        <v>11926</v>
      </c>
      <c r="DT136" s="442">
        <v>11951</v>
      </c>
      <c r="DU136" s="442">
        <v>10827</v>
      </c>
      <c r="DV136" s="442">
        <v>12034</v>
      </c>
      <c r="DW136" s="442">
        <v>11824</v>
      </c>
      <c r="DX136" s="442">
        <v>11579</v>
      </c>
      <c r="DY136" s="442">
        <v>11568</v>
      </c>
      <c r="DZ136" s="442">
        <v>11123</v>
      </c>
      <c r="EA136" s="442">
        <v>11301</v>
      </c>
      <c r="EB136" s="442">
        <v>11267</v>
      </c>
      <c r="EC136" s="442">
        <v>9928</v>
      </c>
      <c r="ED136" s="442">
        <v>9686</v>
      </c>
      <c r="EE136" s="442">
        <v>9833</v>
      </c>
      <c r="EF136" s="442">
        <v>10296</v>
      </c>
      <c r="EG136" s="442">
        <v>9663</v>
      </c>
      <c r="EH136" s="442">
        <v>8362</v>
      </c>
      <c r="EI136" s="442">
        <v>7264</v>
      </c>
      <c r="EJ136" s="442">
        <v>7731</v>
      </c>
      <c r="EK136" s="442">
        <v>7533</v>
      </c>
      <c r="EL136" s="442">
        <v>7183</v>
      </c>
      <c r="EM136" s="442">
        <v>7299</v>
      </c>
      <c r="EN136" s="442">
        <v>7522</v>
      </c>
      <c r="EO136" s="442">
        <v>7111</v>
      </c>
      <c r="EP136" s="442">
        <v>7201</v>
      </c>
      <c r="EQ136" s="442">
        <v>7629</v>
      </c>
      <c r="ER136" s="442">
        <v>7369</v>
      </c>
      <c r="ES136" s="442">
        <v>7465</v>
      </c>
      <c r="ET136" s="442">
        <v>7471</v>
      </c>
      <c r="EU136" s="442">
        <v>7185</v>
      </c>
      <c r="EV136" s="442">
        <v>7549</v>
      </c>
      <c r="EW136" s="442">
        <v>7214</v>
      </c>
      <c r="EX136" s="442">
        <v>7069</v>
      </c>
      <c r="EY136" s="442">
        <v>7513</v>
      </c>
      <c r="EZ136" s="442">
        <v>7478</v>
      </c>
      <c r="FA136" s="442">
        <v>7131</v>
      </c>
      <c r="FB136" s="442">
        <v>7279</v>
      </c>
      <c r="FC136" s="442">
        <v>7774</v>
      </c>
      <c r="FD136" s="442">
        <v>7616</v>
      </c>
      <c r="FE136" s="442">
        <v>7409</v>
      </c>
      <c r="FF136" s="442">
        <v>7435</v>
      </c>
      <c r="FG136" s="442">
        <v>7426</v>
      </c>
      <c r="FH136" s="442">
        <v>7452</v>
      </c>
      <c r="FI136" s="442">
        <v>7194</v>
      </c>
      <c r="FJ136" s="442">
        <v>7279</v>
      </c>
      <c r="FK136" s="442">
        <v>7508</v>
      </c>
      <c r="FL136" s="442">
        <v>7568</v>
      </c>
      <c r="FM136" s="442">
        <v>7500</v>
      </c>
      <c r="FN136" s="442">
        <v>7241</v>
      </c>
      <c r="FO136" s="442">
        <v>7736</v>
      </c>
      <c r="FP136" s="442">
        <v>7613</v>
      </c>
      <c r="FQ136" s="442">
        <v>7461</v>
      </c>
      <c r="FR136" s="442">
        <v>7636</v>
      </c>
      <c r="FS136" s="442">
        <v>7588</v>
      </c>
      <c r="FT136" s="442">
        <v>7985</v>
      </c>
      <c r="FU136" s="442">
        <v>7625</v>
      </c>
      <c r="FV136" s="442">
        <v>7810</v>
      </c>
      <c r="FW136" s="442">
        <v>7469</v>
      </c>
      <c r="FX136" s="442">
        <v>7931</v>
      </c>
      <c r="FY136" s="442">
        <v>7063</v>
      </c>
      <c r="FZ136" s="442">
        <v>6940</v>
      </c>
      <c r="GA136" s="442">
        <v>7245</v>
      </c>
      <c r="GB136" s="442">
        <v>6586</v>
      </c>
      <c r="GC136" s="442">
        <v>6624</v>
      </c>
      <c r="GD136" s="442">
        <v>6894</v>
      </c>
      <c r="GE136" s="442">
        <v>6638</v>
      </c>
      <c r="GF136" s="442">
        <v>6554</v>
      </c>
      <c r="GG136" s="442">
        <v>6735</v>
      </c>
      <c r="GH136" s="442">
        <v>6251</v>
      </c>
      <c r="GI136" s="442">
        <v>6816</v>
      </c>
      <c r="GJ136" s="442">
        <v>6669</v>
      </c>
      <c r="GK136" s="431">
        <v>6633</v>
      </c>
    </row>
    <row r="137" spans="1:193">
      <c r="A137" s="231" t="s">
        <v>243</v>
      </c>
      <c r="B137" s="348">
        <v>681</v>
      </c>
      <c r="C137" s="348">
        <v>704</v>
      </c>
      <c r="D137" s="348">
        <v>694</v>
      </c>
      <c r="E137" s="348">
        <v>671</v>
      </c>
      <c r="F137" s="348">
        <v>687</v>
      </c>
      <c r="G137" s="348">
        <v>680</v>
      </c>
      <c r="H137" s="348">
        <v>678</v>
      </c>
      <c r="I137" s="348">
        <v>698</v>
      </c>
      <c r="J137" s="348">
        <v>657</v>
      </c>
      <c r="K137" s="348">
        <v>655</v>
      </c>
      <c r="L137" s="348">
        <v>660</v>
      </c>
      <c r="M137" s="348">
        <v>653</v>
      </c>
      <c r="N137" s="348">
        <v>649</v>
      </c>
      <c r="O137" s="348">
        <v>646</v>
      </c>
      <c r="P137" s="348">
        <v>664</v>
      </c>
      <c r="Q137" s="348">
        <v>653</v>
      </c>
      <c r="R137" s="348">
        <v>656</v>
      </c>
      <c r="S137" s="348">
        <v>676</v>
      </c>
      <c r="T137" s="348">
        <v>654</v>
      </c>
      <c r="U137" s="348">
        <v>653</v>
      </c>
      <c r="V137" s="348">
        <v>653</v>
      </c>
      <c r="W137" s="348">
        <v>635</v>
      </c>
      <c r="X137" s="348">
        <v>628</v>
      </c>
      <c r="Y137" s="348">
        <v>618</v>
      </c>
      <c r="Z137" s="348">
        <v>630</v>
      </c>
      <c r="AA137" s="348">
        <v>624</v>
      </c>
      <c r="AB137" s="348">
        <v>632</v>
      </c>
      <c r="AC137" s="348">
        <v>638</v>
      </c>
      <c r="AD137" s="348">
        <v>658</v>
      </c>
      <c r="AE137" s="348">
        <v>656</v>
      </c>
      <c r="AF137" s="348">
        <v>639</v>
      </c>
      <c r="AG137" s="348">
        <v>640</v>
      </c>
      <c r="AH137" s="348">
        <v>642</v>
      </c>
      <c r="AI137" s="348">
        <v>637</v>
      </c>
      <c r="AJ137" s="348">
        <v>641</v>
      </c>
      <c r="AK137" s="348">
        <v>649</v>
      </c>
      <c r="AL137" s="348">
        <v>617</v>
      </c>
      <c r="AM137" s="348">
        <v>624</v>
      </c>
      <c r="AN137" s="348">
        <v>613</v>
      </c>
      <c r="AO137" s="348">
        <v>693</v>
      </c>
      <c r="AP137" s="348">
        <v>643</v>
      </c>
      <c r="AQ137" s="348">
        <v>651</v>
      </c>
      <c r="AR137" s="348">
        <v>741</v>
      </c>
      <c r="AS137" s="348">
        <v>647</v>
      </c>
      <c r="AT137" s="348">
        <v>649</v>
      </c>
      <c r="AU137" s="348">
        <v>618</v>
      </c>
      <c r="AV137" s="348">
        <v>638</v>
      </c>
      <c r="AW137" s="348">
        <v>674</v>
      </c>
      <c r="AX137" s="348">
        <v>711</v>
      </c>
      <c r="AY137" s="348">
        <v>731</v>
      </c>
      <c r="AZ137" s="348">
        <v>686</v>
      </c>
      <c r="BA137" s="348">
        <v>671</v>
      </c>
      <c r="BB137" s="348">
        <v>706</v>
      </c>
      <c r="BC137" s="348">
        <v>713</v>
      </c>
      <c r="BD137" s="348">
        <v>717</v>
      </c>
      <c r="BE137" s="348">
        <v>731</v>
      </c>
      <c r="BF137" s="348">
        <v>713</v>
      </c>
      <c r="BG137" s="348">
        <v>725</v>
      </c>
      <c r="BH137" s="348">
        <v>744</v>
      </c>
      <c r="BI137" s="348">
        <v>754</v>
      </c>
      <c r="BJ137" s="348">
        <v>754</v>
      </c>
      <c r="BK137" s="348">
        <v>772</v>
      </c>
      <c r="BL137" s="348">
        <v>779</v>
      </c>
      <c r="BM137" s="348">
        <v>776</v>
      </c>
      <c r="BN137" s="348">
        <v>775</v>
      </c>
      <c r="BO137" s="348">
        <v>767</v>
      </c>
      <c r="BP137" s="348">
        <v>766</v>
      </c>
      <c r="BQ137" s="348">
        <v>767</v>
      </c>
      <c r="BR137" s="348">
        <v>778</v>
      </c>
      <c r="BS137" s="348">
        <v>772</v>
      </c>
      <c r="BT137" s="348">
        <v>782</v>
      </c>
      <c r="BU137" s="348">
        <v>764</v>
      </c>
      <c r="BV137" s="348">
        <v>790</v>
      </c>
      <c r="BW137" s="348">
        <v>790</v>
      </c>
      <c r="BX137" s="348">
        <v>753</v>
      </c>
      <c r="BY137" s="348">
        <v>740</v>
      </c>
      <c r="BZ137" s="348">
        <v>736</v>
      </c>
      <c r="CA137" s="348">
        <v>819</v>
      </c>
      <c r="CB137" s="348">
        <v>842</v>
      </c>
      <c r="CC137" s="348">
        <v>845</v>
      </c>
      <c r="CD137" s="348">
        <v>843</v>
      </c>
      <c r="CE137" s="348">
        <v>764</v>
      </c>
      <c r="CF137" s="441">
        <v>1005</v>
      </c>
      <c r="CG137" s="441">
        <v>772</v>
      </c>
      <c r="CH137" s="441">
        <v>855</v>
      </c>
      <c r="CI137" s="441">
        <v>881</v>
      </c>
      <c r="CJ137" s="441">
        <v>858</v>
      </c>
      <c r="CK137" s="441">
        <v>869</v>
      </c>
      <c r="CL137" s="441">
        <v>910</v>
      </c>
      <c r="CM137" s="441">
        <v>876</v>
      </c>
      <c r="CN137" s="441">
        <v>917</v>
      </c>
      <c r="CO137" s="441">
        <v>933</v>
      </c>
      <c r="CP137" s="441">
        <v>926</v>
      </c>
      <c r="CQ137" s="441">
        <v>941</v>
      </c>
      <c r="CR137" s="441">
        <v>895</v>
      </c>
      <c r="CS137" s="441">
        <v>899</v>
      </c>
      <c r="CT137" s="441">
        <v>936</v>
      </c>
      <c r="CU137" s="441">
        <v>924</v>
      </c>
      <c r="CV137" s="441">
        <v>908</v>
      </c>
      <c r="CW137" s="441">
        <v>887</v>
      </c>
      <c r="CX137" s="441">
        <v>894</v>
      </c>
      <c r="CY137" s="441">
        <v>923</v>
      </c>
      <c r="CZ137" s="441">
        <v>887</v>
      </c>
      <c r="DA137" s="441">
        <v>886</v>
      </c>
      <c r="DB137" s="441">
        <v>908</v>
      </c>
      <c r="DC137" s="441">
        <v>933</v>
      </c>
      <c r="DD137" s="441">
        <v>971</v>
      </c>
      <c r="DE137" s="441">
        <v>1069</v>
      </c>
      <c r="DF137" s="441">
        <v>1063</v>
      </c>
      <c r="DG137" s="441">
        <v>1011</v>
      </c>
      <c r="DH137" s="441">
        <v>991</v>
      </c>
      <c r="DI137" s="441">
        <v>932</v>
      </c>
      <c r="DJ137" s="441">
        <v>946</v>
      </c>
      <c r="DK137" s="441">
        <v>1025</v>
      </c>
      <c r="DL137" s="441">
        <v>921</v>
      </c>
      <c r="DM137" s="441">
        <v>1165</v>
      </c>
      <c r="DN137" s="441">
        <v>1199</v>
      </c>
      <c r="DO137" s="441">
        <v>997</v>
      </c>
      <c r="DP137" s="441">
        <v>1013</v>
      </c>
      <c r="DQ137" s="441">
        <v>976</v>
      </c>
      <c r="DR137" s="441">
        <v>928</v>
      </c>
      <c r="DS137" s="441">
        <v>924</v>
      </c>
      <c r="DT137" s="441">
        <v>948</v>
      </c>
      <c r="DU137" s="441">
        <v>936</v>
      </c>
      <c r="DV137" s="441">
        <v>908</v>
      </c>
      <c r="DW137" s="441">
        <v>900</v>
      </c>
      <c r="DX137" s="441">
        <v>596</v>
      </c>
      <c r="DY137" s="441">
        <v>686</v>
      </c>
      <c r="DZ137" s="441">
        <v>720</v>
      </c>
      <c r="EA137" s="441">
        <v>698</v>
      </c>
      <c r="EB137" s="441">
        <v>687</v>
      </c>
      <c r="EC137" s="441">
        <v>665</v>
      </c>
      <c r="ED137" s="441">
        <v>655</v>
      </c>
      <c r="EE137" s="441">
        <v>682</v>
      </c>
      <c r="EF137" s="441">
        <v>433</v>
      </c>
      <c r="EG137" s="441">
        <v>399</v>
      </c>
      <c r="EH137" s="441">
        <v>436</v>
      </c>
      <c r="EI137" s="441">
        <v>412</v>
      </c>
      <c r="EJ137" s="441">
        <v>403</v>
      </c>
      <c r="EK137" s="441">
        <v>403</v>
      </c>
      <c r="EL137" s="441">
        <v>408</v>
      </c>
      <c r="EM137" s="441">
        <v>408</v>
      </c>
      <c r="EN137" s="441">
        <v>436</v>
      </c>
      <c r="EO137" s="441">
        <v>424</v>
      </c>
      <c r="EP137" s="441">
        <v>435</v>
      </c>
      <c r="EQ137" s="441">
        <v>454</v>
      </c>
      <c r="ER137" s="441">
        <v>428</v>
      </c>
      <c r="ES137" s="441">
        <v>396</v>
      </c>
      <c r="ET137" s="441">
        <v>416</v>
      </c>
      <c r="EU137" s="441">
        <v>404</v>
      </c>
      <c r="EV137" s="441">
        <v>395</v>
      </c>
      <c r="EW137" s="441">
        <v>416</v>
      </c>
      <c r="EX137" s="441">
        <v>397</v>
      </c>
      <c r="EY137" s="441">
        <v>370</v>
      </c>
      <c r="EZ137" s="441">
        <v>423</v>
      </c>
      <c r="FA137" s="441">
        <v>783</v>
      </c>
      <c r="FB137" s="441">
        <v>596</v>
      </c>
      <c r="FC137" s="441">
        <v>854</v>
      </c>
      <c r="FD137" s="441">
        <v>839</v>
      </c>
      <c r="FE137" s="441">
        <v>1094</v>
      </c>
      <c r="FF137" s="441">
        <v>828</v>
      </c>
      <c r="FG137" s="441">
        <v>666</v>
      </c>
      <c r="FH137" s="441">
        <v>1047</v>
      </c>
      <c r="FI137" s="441">
        <v>1023</v>
      </c>
      <c r="FJ137" s="441">
        <v>956</v>
      </c>
      <c r="FK137" s="441">
        <v>1206</v>
      </c>
      <c r="FL137" s="441">
        <v>908</v>
      </c>
      <c r="FM137" s="441">
        <v>742</v>
      </c>
      <c r="FN137" s="441">
        <v>733</v>
      </c>
      <c r="FO137" s="441">
        <v>760</v>
      </c>
      <c r="FP137" s="441">
        <v>876</v>
      </c>
      <c r="FQ137" s="441">
        <v>981</v>
      </c>
      <c r="FR137" s="441">
        <v>1152</v>
      </c>
      <c r="FS137" s="441">
        <v>1111</v>
      </c>
      <c r="FT137" s="441">
        <v>1103</v>
      </c>
      <c r="FU137" s="441">
        <v>1000</v>
      </c>
      <c r="FV137" s="441">
        <v>1002</v>
      </c>
      <c r="FW137" s="441">
        <v>1135</v>
      </c>
      <c r="FX137" s="441">
        <v>1285</v>
      </c>
      <c r="FY137" s="441">
        <v>1286</v>
      </c>
      <c r="FZ137" s="441">
        <v>1076</v>
      </c>
      <c r="GA137" s="441">
        <v>1100</v>
      </c>
      <c r="GB137" s="441">
        <v>838</v>
      </c>
      <c r="GC137" s="441">
        <v>1442</v>
      </c>
      <c r="GD137" s="441">
        <v>1114</v>
      </c>
      <c r="GE137" s="441">
        <v>1156</v>
      </c>
      <c r="GF137" s="441">
        <v>1111</v>
      </c>
      <c r="GG137" s="441">
        <v>1004</v>
      </c>
      <c r="GH137" s="441">
        <v>1107</v>
      </c>
      <c r="GI137" s="441">
        <v>1106</v>
      </c>
      <c r="GJ137" s="441">
        <v>1111</v>
      </c>
      <c r="GK137" s="430">
        <v>1125</v>
      </c>
    </row>
    <row r="138" spans="1:193">
      <c r="A138" s="231" t="s">
        <v>245</v>
      </c>
      <c r="B138" s="442">
        <v>645</v>
      </c>
      <c r="C138" s="442">
        <v>722</v>
      </c>
      <c r="D138" s="442">
        <v>695</v>
      </c>
      <c r="E138" s="442">
        <v>660</v>
      </c>
      <c r="F138" s="442">
        <v>699</v>
      </c>
      <c r="G138" s="442">
        <v>737</v>
      </c>
      <c r="H138" s="442">
        <v>666</v>
      </c>
      <c r="I138" s="442">
        <v>691</v>
      </c>
      <c r="J138" s="442">
        <v>729</v>
      </c>
      <c r="K138" s="442">
        <v>660</v>
      </c>
      <c r="L138" s="442">
        <v>749</v>
      </c>
      <c r="M138" s="442">
        <v>655</v>
      </c>
      <c r="N138" s="442">
        <v>745</v>
      </c>
      <c r="O138" s="442">
        <v>712</v>
      </c>
      <c r="P138" s="442">
        <v>670</v>
      </c>
      <c r="Q138" s="442">
        <v>307</v>
      </c>
      <c r="R138" s="442">
        <v>315</v>
      </c>
      <c r="S138" s="442">
        <v>299</v>
      </c>
      <c r="T138" s="442">
        <v>298</v>
      </c>
      <c r="U138" s="442">
        <v>277</v>
      </c>
      <c r="V138" s="442">
        <v>303</v>
      </c>
      <c r="W138" s="442">
        <v>322</v>
      </c>
      <c r="X138" s="442">
        <v>320</v>
      </c>
      <c r="Y138" s="442">
        <v>308</v>
      </c>
      <c r="Z138" s="442">
        <v>319</v>
      </c>
      <c r="AA138" s="442">
        <v>332</v>
      </c>
      <c r="AB138" s="442">
        <v>345</v>
      </c>
      <c r="AC138" s="442">
        <v>302</v>
      </c>
      <c r="AD138" s="442">
        <v>309</v>
      </c>
      <c r="AE138" s="442">
        <v>268</v>
      </c>
      <c r="AF138" s="442">
        <v>287</v>
      </c>
      <c r="AG138" s="442">
        <v>311</v>
      </c>
      <c r="AH138" s="442">
        <v>321</v>
      </c>
      <c r="AI138" s="442">
        <v>284</v>
      </c>
      <c r="AJ138" s="442">
        <v>291</v>
      </c>
      <c r="AK138" s="442">
        <v>282</v>
      </c>
      <c r="AL138" s="442">
        <v>289</v>
      </c>
      <c r="AM138" s="442">
        <v>243</v>
      </c>
      <c r="AN138" s="442">
        <v>284</v>
      </c>
      <c r="AO138" s="442">
        <v>290</v>
      </c>
      <c r="AP138" s="442">
        <v>301</v>
      </c>
      <c r="AQ138" s="442">
        <v>314</v>
      </c>
      <c r="AR138" s="442">
        <v>332</v>
      </c>
      <c r="AS138" s="442">
        <v>310</v>
      </c>
      <c r="AT138" s="442">
        <v>310</v>
      </c>
      <c r="AU138" s="442">
        <v>308</v>
      </c>
      <c r="AV138" s="442">
        <v>323</v>
      </c>
      <c r="AW138" s="442">
        <v>330</v>
      </c>
      <c r="AX138" s="442">
        <v>320</v>
      </c>
      <c r="AY138" s="442">
        <v>330</v>
      </c>
      <c r="AZ138" s="442">
        <v>321</v>
      </c>
      <c r="BA138" s="442">
        <v>316</v>
      </c>
      <c r="BB138" s="442">
        <v>333</v>
      </c>
      <c r="BC138" s="442">
        <v>333</v>
      </c>
      <c r="BD138" s="442">
        <v>345</v>
      </c>
      <c r="BE138" s="442">
        <v>349</v>
      </c>
      <c r="BF138" s="442">
        <v>348</v>
      </c>
      <c r="BG138" s="442">
        <v>383</v>
      </c>
      <c r="BH138" s="442">
        <v>374</v>
      </c>
      <c r="BI138" s="442">
        <v>353</v>
      </c>
      <c r="BJ138" s="442">
        <v>359</v>
      </c>
      <c r="BK138" s="442">
        <v>397</v>
      </c>
      <c r="BL138" s="442">
        <v>377</v>
      </c>
      <c r="BM138" s="442">
        <v>350</v>
      </c>
      <c r="BN138" s="442">
        <v>411</v>
      </c>
      <c r="BO138" s="442">
        <v>420</v>
      </c>
      <c r="BP138" s="442">
        <v>433</v>
      </c>
      <c r="BQ138" s="442">
        <v>421</v>
      </c>
      <c r="BR138" s="442">
        <v>437</v>
      </c>
      <c r="BS138" s="442">
        <v>462</v>
      </c>
      <c r="BT138" s="442">
        <v>490</v>
      </c>
      <c r="BU138" s="442">
        <v>446</v>
      </c>
      <c r="BV138" s="442">
        <v>456</v>
      </c>
      <c r="BW138" s="442">
        <v>459</v>
      </c>
      <c r="BX138" s="442">
        <v>494</v>
      </c>
      <c r="BY138" s="442">
        <v>477</v>
      </c>
      <c r="BZ138" s="442">
        <v>510</v>
      </c>
      <c r="CA138" s="442">
        <v>527</v>
      </c>
      <c r="CB138" s="442">
        <v>531</v>
      </c>
      <c r="CC138" s="442">
        <v>544</v>
      </c>
      <c r="CD138" s="442">
        <v>554</v>
      </c>
      <c r="CE138" s="442">
        <v>595</v>
      </c>
      <c r="CF138" s="442">
        <v>569</v>
      </c>
      <c r="CG138" s="442">
        <v>563</v>
      </c>
      <c r="CH138" s="442">
        <v>550</v>
      </c>
      <c r="CI138" s="442">
        <v>583</v>
      </c>
      <c r="CJ138" s="442">
        <v>608</v>
      </c>
      <c r="CK138" s="442">
        <v>593</v>
      </c>
      <c r="CL138" s="442">
        <v>584</v>
      </c>
      <c r="CM138" s="442">
        <v>627</v>
      </c>
      <c r="CN138" s="442">
        <v>616</v>
      </c>
      <c r="CO138" s="442">
        <v>591</v>
      </c>
      <c r="CP138" s="442">
        <v>594</v>
      </c>
      <c r="CQ138" s="442">
        <v>640</v>
      </c>
      <c r="CR138" s="442">
        <v>615</v>
      </c>
      <c r="CS138" s="442">
        <v>614</v>
      </c>
      <c r="CT138" s="442">
        <v>611</v>
      </c>
      <c r="CU138" s="442">
        <v>585</v>
      </c>
      <c r="CV138" s="442">
        <v>597</v>
      </c>
      <c r="CW138" s="442">
        <v>573</v>
      </c>
      <c r="CX138" s="442">
        <v>602</v>
      </c>
      <c r="CY138" s="442">
        <v>578</v>
      </c>
      <c r="CZ138" s="442">
        <v>567</v>
      </c>
      <c r="DA138" s="442">
        <v>571</v>
      </c>
      <c r="DB138" s="442">
        <v>531</v>
      </c>
      <c r="DC138" s="442">
        <v>544</v>
      </c>
      <c r="DD138" s="442">
        <v>551</v>
      </c>
      <c r="DE138" s="442">
        <v>525</v>
      </c>
      <c r="DF138" s="442">
        <v>574</v>
      </c>
      <c r="DG138" s="442">
        <v>611</v>
      </c>
      <c r="DH138" s="442">
        <v>616</v>
      </c>
      <c r="DI138" s="442">
        <v>567</v>
      </c>
      <c r="DJ138" s="442">
        <v>627</v>
      </c>
      <c r="DK138" s="442">
        <v>647</v>
      </c>
      <c r="DL138" s="442">
        <v>753</v>
      </c>
      <c r="DM138" s="442">
        <v>748</v>
      </c>
      <c r="DN138" s="442">
        <v>735</v>
      </c>
      <c r="DO138" s="442">
        <v>664</v>
      </c>
      <c r="DP138" s="442">
        <v>673</v>
      </c>
      <c r="DQ138" s="442">
        <v>652</v>
      </c>
      <c r="DR138" s="442">
        <v>641</v>
      </c>
      <c r="DS138" s="442">
        <v>675</v>
      </c>
      <c r="DT138" s="442">
        <v>713</v>
      </c>
      <c r="DU138" s="442">
        <v>690</v>
      </c>
      <c r="DV138" s="442">
        <v>696</v>
      </c>
      <c r="DW138" s="442">
        <v>728</v>
      </c>
      <c r="DX138" s="442">
        <v>759</v>
      </c>
      <c r="DY138" s="442">
        <v>839</v>
      </c>
      <c r="DZ138" s="442">
        <v>894</v>
      </c>
      <c r="EA138" s="442">
        <v>925</v>
      </c>
      <c r="EB138" s="442">
        <v>975</v>
      </c>
      <c r="EC138" s="442">
        <v>905</v>
      </c>
      <c r="ED138" s="442">
        <v>957</v>
      </c>
      <c r="EE138" s="442">
        <v>947</v>
      </c>
      <c r="EF138" s="442">
        <v>1016</v>
      </c>
      <c r="EG138" s="442">
        <v>1015</v>
      </c>
      <c r="EH138" s="442">
        <v>994</v>
      </c>
      <c r="EI138" s="442">
        <v>980</v>
      </c>
      <c r="EJ138" s="442">
        <v>931</v>
      </c>
      <c r="EK138" s="442">
        <v>907</v>
      </c>
      <c r="EL138" s="442">
        <v>912</v>
      </c>
      <c r="EM138" s="442">
        <v>1017</v>
      </c>
      <c r="EN138" s="442">
        <v>967</v>
      </c>
      <c r="EO138" s="442">
        <v>899</v>
      </c>
      <c r="EP138" s="442">
        <v>871</v>
      </c>
      <c r="EQ138" s="442">
        <v>909</v>
      </c>
      <c r="ER138" s="442">
        <v>952</v>
      </c>
      <c r="ES138" s="442">
        <v>908</v>
      </c>
      <c r="ET138" s="442">
        <v>932</v>
      </c>
      <c r="EU138" s="442">
        <v>890</v>
      </c>
      <c r="EV138" s="442">
        <v>879</v>
      </c>
      <c r="EW138" s="442">
        <v>918</v>
      </c>
      <c r="EX138" s="442">
        <v>986</v>
      </c>
      <c r="EY138" s="442">
        <v>1011</v>
      </c>
      <c r="EZ138" s="442">
        <v>1040</v>
      </c>
      <c r="FA138" s="442">
        <v>925</v>
      </c>
      <c r="FB138" s="442">
        <v>1028</v>
      </c>
      <c r="FC138" s="442">
        <v>1047</v>
      </c>
      <c r="FD138" s="442">
        <v>1054</v>
      </c>
      <c r="FE138" s="442">
        <v>1040</v>
      </c>
      <c r="FF138" s="442">
        <v>1229</v>
      </c>
      <c r="FG138" s="442">
        <v>1207</v>
      </c>
      <c r="FH138" s="442">
        <v>1790</v>
      </c>
      <c r="FI138" s="442">
        <v>1754</v>
      </c>
      <c r="FJ138" s="442">
        <v>1397</v>
      </c>
      <c r="FK138" s="442">
        <v>1455</v>
      </c>
      <c r="FL138" s="442">
        <v>1417</v>
      </c>
      <c r="FM138" s="442">
        <v>1387</v>
      </c>
      <c r="FN138" s="442">
        <v>1223</v>
      </c>
      <c r="FO138" s="442">
        <v>1267</v>
      </c>
      <c r="FP138" s="442">
        <v>1307</v>
      </c>
      <c r="FQ138" s="442">
        <v>1577</v>
      </c>
      <c r="FR138" s="442">
        <v>1436</v>
      </c>
      <c r="FS138" s="442">
        <v>1441</v>
      </c>
      <c r="FT138" s="442">
        <v>1383</v>
      </c>
      <c r="FU138" s="442">
        <v>1446</v>
      </c>
      <c r="FV138" s="442">
        <v>1400</v>
      </c>
      <c r="FW138" s="442">
        <v>1573</v>
      </c>
      <c r="FX138" s="442">
        <v>1842</v>
      </c>
      <c r="FY138" s="442">
        <v>1509</v>
      </c>
      <c r="FZ138" s="442">
        <v>1494</v>
      </c>
      <c r="GA138" s="442">
        <v>1657</v>
      </c>
      <c r="GB138" s="442">
        <v>1615</v>
      </c>
      <c r="GC138" s="442">
        <v>1663</v>
      </c>
      <c r="GD138" s="442">
        <v>1767</v>
      </c>
      <c r="GE138" s="442">
        <v>1738</v>
      </c>
      <c r="GF138" s="442">
        <v>1574</v>
      </c>
      <c r="GG138" s="442">
        <v>2344</v>
      </c>
      <c r="GH138" s="442">
        <v>2045</v>
      </c>
      <c r="GI138" s="442">
        <v>2322</v>
      </c>
      <c r="GJ138" s="442">
        <v>2418</v>
      </c>
      <c r="GK138" s="431">
        <v>1172</v>
      </c>
    </row>
    <row r="139" spans="1:193">
      <c r="A139" s="231" t="s">
        <v>242</v>
      </c>
      <c r="B139" s="348">
        <v>980</v>
      </c>
      <c r="C139" s="348">
        <v>937</v>
      </c>
      <c r="D139" s="348">
        <v>917</v>
      </c>
      <c r="E139" s="348">
        <v>999</v>
      </c>
      <c r="F139" s="348">
        <v>939</v>
      </c>
      <c r="G139" s="348">
        <v>1114</v>
      </c>
      <c r="H139" s="348">
        <v>970</v>
      </c>
      <c r="I139" s="348">
        <v>1018</v>
      </c>
      <c r="J139" s="348">
        <v>905</v>
      </c>
      <c r="K139" s="348">
        <v>1052</v>
      </c>
      <c r="L139" s="348">
        <v>1105</v>
      </c>
      <c r="M139" s="348">
        <v>1172</v>
      </c>
      <c r="N139" s="348">
        <v>1150</v>
      </c>
      <c r="O139" s="348">
        <v>1064</v>
      </c>
      <c r="P139" s="348">
        <v>1028</v>
      </c>
      <c r="Q139" s="348">
        <v>1104</v>
      </c>
      <c r="R139" s="348">
        <v>1080</v>
      </c>
      <c r="S139" s="348">
        <v>1070</v>
      </c>
      <c r="T139" s="348">
        <v>1002</v>
      </c>
      <c r="U139" s="348">
        <v>1072</v>
      </c>
      <c r="V139" s="348">
        <v>1056</v>
      </c>
      <c r="W139" s="348">
        <v>1204</v>
      </c>
      <c r="X139" s="348">
        <v>1229</v>
      </c>
      <c r="Y139" s="348">
        <v>1149</v>
      </c>
      <c r="Z139" s="348">
        <v>1035</v>
      </c>
      <c r="AA139" s="348">
        <v>1020</v>
      </c>
      <c r="AB139" s="348">
        <v>1065</v>
      </c>
      <c r="AC139" s="348">
        <v>1049</v>
      </c>
      <c r="AD139" s="348">
        <v>1238</v>
      </c>
      <c r="AE139" s="348">
        <v>1018</v>
      </c>
      <c r="AF139" s="348">
        <v>1152</v>
      </c>
      <c r="AG139" s="348">
        <v>1045</v>
      </c>
      <c r="AH139" s="348">
        <v>1166</v>
      </c>
      <c r="AI139" s="348">
        <v>1103</v>
      </c>
      <c r="AJ139" s="348">
        <v>1111</v>
      </c>
      <c r="AK139" s="348">
        <v>1123</v>
      </c>
      <c r="AL139" s="348">
        <v>1142</v>
      </c>
      <c r="AM139" s="348">
        <v>1150</v>
      </c>
      <c r="AN139" s="348">
        <v>1224</v>
      </c>
      <c r="AO139" s="348">
        <v>1352</v>
      </c>
      <c r="AP139" s="348">
        <v>1561</v>
      </c>
      <c r="AQ139" s="348">
        <v>1431</v>
      </c>
      <c r="AR139" s="348">
        <v>1470</v>
      </c>
      <c r="AS139" s="348">
        <v>1853</v>
      </c>
      <c r="AT139" s="348">
        <v>1554</v>
      </c>
      <c r="AU139" s="348">
        <v>1279</v>
      </c>
      <c r="AV139" s="348">
        <v>1432</v>
      </c>
      <c r="AW139" s="348">
        <v>1318</v>
      </c>
      <c r="AX139" s="348">
        <v>1491</v>
      </c>
      <c r="AY139" s="348">
        <v>1415</v>
      </c>
      <c r="AZ139" s="348">
        <v>1398</v>
      </c>
      <c r="BA139" s="348">
        <v>1461</v>
      </c>
      <c r="BB139" s="348">
        <v>1579</v>
      </c>
      <c r="BC139" s="348">
        <v>1558</v>
      </c>
      <c r="BD139" s="348">
        <v>1578</v>
      </c>
      <c r="BE139" s="348">
        <v>1416</v>
      </c>
      <c r="BF139" s="348">
        <v>1501</v>
      </c>
      <c r="BG139" s="348">
        <v>1456</v>
      </c>
      <c r="BH139" s="348">
        <v>1450</v>
      </c>
      <c r="BI139" s="348">
        <v>1435</v>
      </c>
      <c r="BJ139" s="348">
        <v>1471</v>
      </c>
      <c r="BK139" s="348">
        <v>1405</v>
      </c>
      <c r="BL139" s="348">
        <v>1517</v>
      </c>
      <c r="BM139" s="348">
        <v>1510</v>
      </c>
      <c r="BN139" s="348">
        <v>1592</v>
      </c>
      <c r="BO139" s="348">
        <v>1469</v>
      </c>
      <c r="BP139" s="348">
        <v>1697</v>
      </c>
      <c r="BQ139" s="348">
        <v>1662</v>
      </c>
      <c r="BR139" s="348">
        <v>1691</v>
      </c>
      <c r="BS139" s="348">
        <v>1888</v>
      </c>
      <c r="BT139" s="348">
        <v>1843</v>
      </c>
      <c r="BU139" s="348">
        <v>1649</v>
      </c>
      <c r="BV139" s="348">
        <v>1662</v>
      </c>
      <c r="BW139" s="348">
        <v>1651</v>
      </c>
      <c r="BX139" s="348">
        <v>1725</v>
      </c>
      <c r="BY139" s="348">
        <v>1749</v>
      </c>
      <c r="BZ139" s="348">
        <v>1769</v>
      </c>
      <c r="CA139" s="348">
        <v>1645</v>
      </c>
      <c r="CB139" s="348">
        <v>2015</v>
      </c>
      <c r="CC139" s="348">
        <v>1877</v>
      </c>
      <c r="CD139" s="348">
        <v>1974</v>
      </c>
      <c r="CE139" s="348">
        <v>1980</v>
      </c>
      <c r="CF139" s="441">
        <v>2027</v>
      </c>
      <c r="CG139" s="441">
        <v>2291</v>
      </c>
      <c r="CH139" s="441">
        <v>2282</v>
      </c>
      <c r="CI139" s="441">
        <v>2229</v>
      </c>
      <c r="CJ139" s="441">
        <v>2077</v>
      </c>
      <c r="CK139" s="441">
        <v>2053</v>
      </c>
      <c r="CL139" s="441">
        <v>2030</v>
      </c>
      <c r="CM139" s="441">
        <v>2261</v>
      </c>
      <c r="CN139" s="441">
        <v>2176</v>
      </c>
      <c r="CO139" s="441">
        <v>2259</v>
      </c>
      <c r="CP139" s="441">
        <v>2232</v>
      </c>
      <c r="CQ139" s="441">
        <v>2419</v>
      </c>
      <c r="CR139" s="441">
        <v>2221</v>
      </c>
      <c r="CS139" s="441">
        <v>2376</v>
      </c>
      <c r="CT139" s="441">
        <v>1752</v>
      </c>
      <c r="CU139" s="441">
        <v>1583</v>
      </c>
      <c r="CV139" s="441">
        <v>1422</v>
      </c>
      <c r="CW139" s="441">
        <v>1397</v>
      </c>
      <c r="CX139" s="441">
        <v>1331</v>
      </c>
      <c r="CY139" s="441">
        <v>1286</v>
      </c>
      <c r="CZ139" s="441">
        <v>1299</v>
      </c>
      <c r="DA139" s="441">
        <v>1226</v>
      </c>
      <c r="DB139" s="441">
        <v>1233</v>
      </c>
      <c r="DC139" s="441">
        <v>1239</v>
      </c>
      <c r="DD139" s="441">
        <v>1466</v>
      </c>
      <c r="DE139" s="441">
        <v>1299</v>
      </c>
      <c r="DF139" s="441">
        <v>1259</v>
      </c>
      <c r="DG139" s="441">
        <v>1309</v>
      </c>
      <c r="DH139" s="441">
        <v>1379</v>
      </c>
      <c r="DI139" s="441">
        <v>1405</v>
      </c>
      <c r="DJ139" s="441">
        <v>1457</v>
      </c>
      <c r="DK139" s="441">
        <v>1459</v>
      </c>
      <c r="DL139" s="441">
        <v>1445</v>
      </c>
      <c r="DM139" s="441">
        <v>1523</v>
      </c>
      <c r="DN139" s="441">
        <v>1595</v>
      </c>
      <c r="DO139" s="441">
        <v>1698</v>
      </c>
      <c r="DP139" s="441">
        <v>1726</v>
      </c>
      <c r="DQ139" s="441">
        <v>1780</v>
      </c>
      <c r="DR139" s="441">
        <v>1726</v>
      </c>
      <c r="DS139" s="441">
        <v>1689</v>
      </c>
      <c r="DT139" s="441">
        <v>1667</v>
      </c>
      <c r="DU139" s="441">
        <v>1761</v>
      </c>
      <c r="DV139" s="441">
        <v>1836</v>
      </c>
      <c r="DW139" s="441">
        <v>1788</v>
      </c>
      <c r="DX139" s="441">
        <v>1791</v>
      </c>
      <c r="DY139" s="441">
        <v>2012</v>
      </c>
      <c r="DZ139" s="441">
        <v>2091</v>
      </c>
      <c r="EA139" s="441">
        <v>2170</v>
      </c>
      <c r="EB139" s="441">
        <v>2417</v>
      </c>
      <c r="EC139" s="441">
        <v>2362</v>
      </c>
      <c r="ED139" s="441">
        <v>2216</v>
      </c>
      <c r="EE139" s="441">
        <v>2450</v>
      </c>
      <c r="EF139" s="441">
        <v>2283</v>
      </c>
      <c r="EG139" s="441">
        <v>2270</v>
      </c>
      <c r="EH139" s="441">
        <v>2404</v>
      </c>
      <c r="EI139" s="441">
        <v>2334</v>
      </c>
      <c r="EJ139" s="441">
        <v>2477</v>
      </c>
      <c r="EK139" s="441">
        <v>2558</v>
      </c>
      <c r="EL139" s="441">
        <v>2517</v>
      </c>
      <c r="EM139" s="441">
        <v>2667</v>
      </c>
      <c r="EN139" s="441">
        <v>2760</v>
      </c>
      <c r="EO139" s="441">
        <v>2554</v>
      </c>
      <c r="EP139" s="441">
        <v>2474</v>
      </c>
      <c r="EQ139" s="441">
        <v>2308</v>
      </c>
      <c r="ER139" s="441">
        <v>2120</v>
      </c>
      <c r="ES139" s="441">
        <v>2194</v>
      </c>
      <c r="ET139" s="441">
        <v>2051</v>
      </c>
      <c r="EU139" s="441">
        <v>2012</v>
      </c>
      <c r="EV139" s="441">
        <v>1906</v>
      </c>
      <c r="EW139" s="441">
        <v>1752</v>
      </c>
      <c r="EX139" s="441">
        <v>1500</v>
      </c>
      <c r="EY139" s="441">
        <v>1565</v>
      </c>
      <c r="EZ139" s="441">
        <v>1546</v>
      </c>
      <c r="FA139" s="441">
        <v>1444</v>
      </c>
      <c r="FB139" s="441">
        <v>1498</v>
      </c>
      <c r="FC139" s="441">
        <v>1526</v>
      </c>
      <c r="FD139" s="441">
        <v>1490</v>
      </c>
      <c r="FE139" s="441">
        <v>1550</v>
      </c>
      <c r="FF139" s="441">
        <v>1622</v>
      </c>
      <c r="FG139" s="441">
        <v>1479</v>
      </c>
      <c r="FH139" s="441">
        <v>1549</v>
      </c>
      <c r="FI139" s="441">
        <v>1485</v>
      </c>
      <c r="FJ139" s="441">
        <v>1437</v>
      </c>
      <c r="FK139" s="441">
        <v>1474</v>
      </c>
      <c r="FL139" s="441">
        <v>1578</v>
      </c>
      <c r="FM139" s="441">
        <v>1471</v>
      </c>
      <c r="FN139" s="441">
        <v>1264</v>
      </c>
      <c r="FO139" s="441">
        <v>1280</v>
      </c>
      <c r="FP139" s="441">
        <v>1381</v>
      </c>
      <c r="FQ139" s="441">
        <v>1335</v>
      </c>
      <c r="FR139" s="441">
        <v>1389</v>
      </c>
      <c r="FS139" s="441">
        <v>1308</v>
      </c>
      <c r="FT139" s="441">
        <v>1187</v>
      </c>
      <c r="FU139" s="441">
        <v>1132</v>
      </c>
      <c r="FV139" s="441">
        <v>1089</v>
      </c>
      <c r="FW139" s="441">
        <v>1022</v>
      </c>
      <c r="FX139" s="441">
        <v>1053</v>
      </c>
      <c r="FY139" s="441">
        <v>887</v>
      </c>
      <c r="FZ139" s="441">
        <v>898</v>
      </c>
      <c r="GA139" s="441">
        <v>945</v>
      </c>
      <c r="GB139" s="441">
        <v>969</v>
      </c>
      <c r="GC139" s="441">
        <v>825</v>
      </c>
      <c r="GD139" s="441">
        <v>958</v>
      </c>
      <c r="GE139" s="441">
        <v>894</v>
      </c>
      <c r="GF139" s="441">
        <v>752</v>
      </c>
      <c r="GG139" s="441">
        <v>811</v>
      </c>
      <c r="GH139" s="441">
        <v>817</v>
      </c>
      <c r="GI139" s="441">
        <v>822</v>
      </c>
      <c r="GJ139" s="441">
        <v>900</v>
      </c>
      <c r="GK139" s="430">
        <v>885</v>
      </c>
    </row>
    <row r="140" spans="1:193">
      <c r="A140" s="231" t="s">
        <v>15</v>
      </c>
      <c r="B140" s="442">
        <v>11813</v>
      </c>
      <c r="C140" s="442">
        <v>11571</v>
      </c>
      <c r="D140" s="442">
        <v>12011</v>
      </c>
      <c r="E140" s="442">
        <v>12069</v>
      </c>
      <c r="F140" s="442">
        <v>12266</v>
      </c>
      <c r="G140" s="442">
        <v>12469</v>
      </c>
      <c r="H140" s="442">
        <v>12645</v>
      </c>
      <c r="I140" s="442">
        <v>12367</v>
      </c>
      <c r="J140" s="442">
        <v>12153</v>
      </c>
      <c r="K140" s="442">
        <v>12676</v>
      </c>
      <c r="L140" s="442">
        <v>12075</v>
      </c>
      <c r="M140" s="442">
        <v>12654</v>
      </c>
      <c r="N140" s="442">
        <v>13087</v>
      </c>
      <c r="O140" s="442">
        <v>12939</v>
      </c>
      <c r="P140" s="442">
        <v>12145</v>
      </c>
      <c r="Q140" s="442">
        <v>13079</v>
      </c>
      <c r="R140" s="442">
        <v>12302</v>
      </c>
      <c r="S140" s="442">
        <v>12382</v>
      </c>
      <c r="T140" s="442">
        <v>14501</v>
      </c>
      <c r="U140" s="442">
        <v>12485</v>
      </c>
      <c r="V140" s="442">
        <v>12847</v>
      </c>
      <c r="W140" s="442">
        <v>12619</v>
      </c>
      <c r="X140" s="442">
        <v>12635</v>
      </c>
      <c r="Y140" s="442">
        <v>12171</v>
      </c>
      <c r="Z140" s="442">
        <v>12838</v>
      </c>
      <c r="AA140" s="442">
        <v>12475</v>
      </c>
      <c r="AB140" s="442">
        <v>13125</v>
      </c>
      <c r="AC140" s="442">
        <v>12465</v>
      </c>
      <c r="AD140" s="442">
        <v>12531</v>
      </c>
      <c r="AE140" s="442">
        <v>12765</v>
      </c>
      <c r="AF140" s="442">
        <v>13101</v>
      </c>
      <c r="AG140" s="442">
        <v>12686</v>
      </c>
      <c r="AH140" s="442">
        <v>12816</v>
      </c>
      <c r="AI140" s="442">
        <v>13123</v>
      </c>
      <c r="AJ140" s="442">
        <v>13362</v>
      </c>
      <c r="AK140" s="442">
        <v>13241</v>
      </c>
      <c r="AL140" s="442">
        <v>12733</v>
      </c>
      <c r="AM140" s="442">
        <v>14007</v>
      </c>
      <c r="AN140" s="442">
        <v>13581</v>
      </c>
      <c r="AO140" s="442">
        <v>13321</v>
      </c>
      <c r="AP140" s="442">
        <v>13520</v>
      </c>
      <c r="AQ140" s="442">
        <v>13277</v>
      </c>
      <c r="AR140" s="442">
        <v>13338</v>
      </c>
      <c r="AS140" s="442">
        <v>13168</v>
      </c>
      <c r="AT140" s="442">
        <v>12675</v>
      </c>
      <c r="AU140" s="442">
        <v>12621</v>
      </c>
      <c r="AV140" s="442">
        <v>12897</v>
      </c>
      <c r="AW140" s="442">
        <v>12718</v>
      </c>
      <c r="AX140" s="442">
        <v>12045</v>
      </c>
      <c r="AY140" s="442">
        <v>12335</v>
      </c>
      <c r="AZ140" s="442">
        <v>12468</v>
      </c>
      <c r="BA140" s="442">
        <v>12238</v>
      </c>
      <c r="BB140" s="442">
        <v>12463</v>
      </c>
      <c r="BC140" s="442">
        <v>11996</v>
      </c>
      <c r="BD140" s="442">
        <v>12276</v>
      </c>
      <c r="BE140" s="442">
        <v>12651</v>
      </c>
      <c r="BF140" s="442">
        <v>12040</v>
      </c>
      <c r="BG140" s="442">
        <v>11995</v>
      </c>
      <c r="BH140" s="442">
        <v>12137</v>
      </c>
      <c r="BI140" s="442">
        <v>11787</v>
      </c>
      <c r="BJ140" s="442">
        <v>11152</v>
      </c>
      <c r="BK140" s="442">
        <v>11930</v>
      </c>
      <c r="BL140" s="442">
        <v>11467</v>
      </c>
      <c r="BM140" s="442">
        <v>12185</v>
      </c>
      <c r="BN140" s="442">
        <v>12585</v>
      </c>
      <c r="BO140" s="442">
        <v>12170</v>
      </c>
      <c r="BP140" s="442">
        <v>12590</v>
      </c>
      <c r="BQ140" s="442">
        <v>12753</v>
      </c>
      <c r="BR140" s="442">
        <v>12881</v>
      </c>
      <c r="BS140" s="442">
        <v>12660</v>
      </c>
      <c r="BT140" s="442">
        <v>13320</v>
      </c>
      <c r="BU140" s="442">
        <v>12374</v>
      </c>
      <c r="BV140" s="442">
        <v>13607</v>
      </c>
      <c r="BW140" s="442">
        <v>13405</v>
      </c>
      <c r="BX140" s="442">
        <v>13587</v>
      </c>
      <c r="BY140" s="442">
        <v>13457</v>
      </c>
      <c r="BZ140" s="442">
        <v>14220</v>
      </c>
      <c r="CA140" s="442">
        <v>13560</v>
      </c>
      <c r="CB140" s="442">
        <v>13805</v>
      </c>
      <c r="CC140" s="442">
        <v>14096</v>
      </c>
      <c r="CD140" s="442">
        <v>13972</v>
      </c>
      <c r="CE140" s="442">
        <v>13859</v>
      </c>
      <c r="CF140" s="442">
        <v>14289</v>
      </c>
      <c r="CG140" s="442">
        <v>13028</v>
      </c>
      <c r="CH140" s="442">
        <v>13297</v>
      </c>
      <c r="CI140" s="442">
        <v>13969</v>
      </c>
      <c r="CJ140" s="442">
        <v>14194</v>
      </c>
      <c r="CK140" s="442">
        <v>14773</v>
      </c>
      <c r="CL140" s="442">
        <v>14690</v>
      </c>
      <c r="CM140" s="442">
        <v>14563</v>
      </c>
      <c r="CN140" s="442">
        <v>14605</v>
      </c>
      <c r="CO140" s="442">
        <v>14353</v>
      </c>
      <c r="CP140" s="442">
        <v>14585</v>
      </c>
      <c r="CQ140" s="442">
        <v>15089</v>
      </c>
      <c r="CR140" s="442">
        <v>15014</v>
      </c>
      <c r="CS140" s="442">
        <v>14796</v>
      </c>
      <c r="CT140" s="442">
        <v>15622</v>
      </c>
      <c r="CU140" s="442">
        <v>16417</v>
      </c>
      <c r="CV140" s="442">
        <v>16532</v>
      </c>
      <c r="CW140" s="442">
        <v>16618</v>
      </c>
      <c r="CX140" s="442">
        <v>16912</v>
      </c>
      <c r="CY140" s="442">
        <v>17145</v>
      </c>
      <c r="CZ140" s="442">
        <v>17178</v>
      </c>
      <c r="DA140" s="442">
        <v>16252</v>
      </c>
      <c r="DB140" s="442">
        <v>16914</v>
      </c>
      <c r="DC140" s="442">
        <v>17710</v>
      </c>
      <c r="DD140" s="442">
        <v>15657</v>
      </c>
      <c r="DE140" s="442">
        <v>16265</v>
      </c>
      <c r="DF140" s="442">
        <v>14965</v>
      </c>
      <c r="DG140" s="442">
        <v>17200</v>
      </c>
      <c r="DH140" s="442">
        <v>18144</v>
      </c>
      <c r="DI140" s="442">
        <v>17667</v>
      </c>
      <c r="DJ140" s="442">
        <v>18006</v>
      </c>
      <c r="DK140" s="442">
        <v>17727</v>
      </c>
      <c r="DL140" s="442">
        <v>18837</v>
      </c>
      <c r="DM140" s="442">
        <v>18499</v>
      </c>
      <c r="DN140" s="442">
        <v>18475</v>
      </c>
      <c r="DO140" s="442">
        <v>18316</v>
      </c>
      <c r="DP140" s="442">
        <v>19073</v>
      </c>
      <c r="DQ140" s="442">
        <v>17703</v>
      </c>
      <c r="DR140" s="442">
        <v>18733</v>
      </c>
      <c r="DS140" s="442">
        <v>18711</v>
      </c>
      <c r="DT140" s="442">
        <v>19630</v>
      </c>
      <c r="DU140" s="442">
        <v>19483</v>
      </c>
      <c r="DV140" s="442">
        <v>20474</v>
      </c>
      <c r="DW140" s="442">
        <v>19535</v>
      </c>
      <c r="DX140" s="442">
        <v>20840</v>
      </c>
      <c r="DY140" s="442">
        <v>21175</v>
      </c>
      <c r="DZ140" s="442">
        <v>22053</v>
      </c>
      <c r="EA140" s="442">
        <v>22161</v>
      </c>
      <c r="EB140" s="442">
        <v>23297</v>
      </c>
      <c r="EC140" s="442">
        <v>21831</v>
      </c>
      <c r="ED140" s="442">
        <v>21835</v>
      </c>
      <c r="EE140" s="442">
        <v>22595</v>
      </c>
      <c r="EF140" s="442">
        <v>22988</v>
      </c>
      <c r="EG140" s="442">
        <v>23205</v>
      </c>
      <c r="EH140" s="442">
        <v>23480</v>
      </c>
      <c r="EI140" s="442">
        <v>23186</v>
      </c>
      <c r="EJ140" s="442">
        <v>23426</v>
      </c>
      <c r="EK140" s="442">
        <v>23126</v>
      </c>
      <c r="EL140" s="442">
        <v>23665</v>
      </c>
      <c r="EM140" s="442">
        <v>22609</v>
      </c>
      <c r="EN140" s="442">
        <v>22128</v>
      </c>
      <c r="EO140" s="442">
        <v>21242</v>
      </c>
      <c r="EP140" s="442">
        <v>21516</v>
      </c>
      <c r="EQ140" s="442">
        <v>22363</v>
      </c>
      <c r="ER140" s="442">
        <v>21326</v>
      </c>
      <c r="ES140" s="442">
        <v>21732</v>
      </c>
      <c r="ET140" s="442">
        <v>22608</v>
      </c>
      <c r="EU140" s="442">
        <v>21166</v>
      </c>
      <c r="EV140" s="442">
        <v>20922</v>
      </c>
      <c r="EW140" s="442">
        <v>19363</v>
      </c>
      <c r="EX140" s="442">
        <v>19507</v>
      </c>
      <c r="EY140" s="442">
        <v>18492</v>
      </c>
      <c r="EZ140" s="442">
        <v>20118</v>
      </c>
      <c r="FA140" s="442">
        <v>17694</v>
      </c>
      <c r="FB140" s="442">
        <v>17302</v>
      </c>
      <c r="FC140" s="442">
        <v>17932</v>
      </c>
      <c r="FD140" s="442">
        <v>16967</v>
      </c>
      <c r="FE140" s="442">
        <v>18551</v>
      </c>
      <c r="FF140" s="442">
        <v>18371</v>
      </c>
      <c r="FG140" s="442">
        <v>17897</v>
      </c>
      <c r="FH140" s="442">
        <v>18732</v>
      </c>
      <c r="FI140" s="442">
        <v>19185</v>
      </c>
      <c r="FJ140" s="442">
        <v>18257</v>
      </c>
      <c r="FK140" s="442">
        <v>19730</v>
      </c>
      <c r="FL140" s="442">
        <v>19337</v>
      </c>
      <c r="FM140" s="442">
        <v>18012</v>
      </c>
      <c r="FN140" s="442">
        <v>18871</v>
      </c>
      <c r="FO140" s="442">
        <v>20208</v>
      </c>
      <c r="FP140" s="442">
        <v>20870</v>
      </c>
      <c r="FQ140" s="442">
        <v>20777</v>
      </c>
      <c r="FR140" s="442">
        <v>20324</v>
      </c>
      <c r="FS140" s="442">
        <v>20623</v>
      </c>
      <c r="FT140" s="442">
        <v>21000</v>
      </c>
      <c r="FU140" s="442">
        <v>21528</v>
      </c>
      <c r="FV140" s="442">
        <v>21851</v>
      </c>
      <c r="FW140" s="442">
        <v>23740</v>
      </c>
      <c r="FX140" s="442">
        <v>23854</v>
      </c>
      <c r="FY140" s="442">
        <v>22827</v>
      </c>
      <c r="FZ140" s="442">
        <v>23398</v>
      </c>
      <c r="GA140" s="442">
        <v>24103</v>
      </c>
      <c r="GB140" s="442">
        <v>24170</v>
      </c>
      <c r="GC140" s="442">
        <v>25356</v>
      </c>
      <c r="GD140" s="442">
        <v>25509</v>
      </c>
      <c r="GE140" s="442">
        <v>25404</v>
      </c>
      <c r="GF140" s="442">
        <v>26081</v>
      </c>
      <c r="GG140" s="442">
        <v>25389</v>
      </c>
      <c r="GH140" s="442">
        <v>25621</v>
      </c>
      <c r="GI140" s="442">
        <v>27314</v>
      </c>
      <c r="GJ140" s="442">
        <v>27060</v>
      </c>
      <c r="GK140" s="431">
        <v>26533</v>
      </c>
    </row>
    <row r="141" spans="1:193">
      <c r="A141" s="231" t="s">
        <v>345</v>
      </c>
      <c r="B141" s="348">
        <v>2249</v>
      </c>
      <c r="C141" s="348">
        <v>2315</v>
      </c>
      <c r="D141" s="348">
        <v>2274</v>
      </c>
      <c r="E141" s="348">
        <v>2337</v>
      </c>
      <c r="F141" s="348">
        <v>2363</v>
      </c>
      <c r="G141" s="348">
        <v>2503</v>
      </c>
      <c r="H141" s="348">
        <v>2310</v>
      </c>
      <c r="I141" s="348">
        <v>2185</v>
      </c>
      <c r="J141" s="348">
        <v>2153</v>
      </c>
      <c r="K141" s="348">
        <v>2098</v>
      </c>
      <c r="L141" s="348">
        <v>2080</v>
      </c>
      <c r="M141" s="348">
        <v>2250</v>
      </c>
      <c r="N141" s="348">
        <v>2166</v>
      </c>
      <c r="O141" s="348">
        <v>2339</v>
      </c>
      <c r="P141" s="348">
        <v>2398</v>
      </c>
      <c r="Q141" s="348">
        <v>2669</v>
      </c>
      <c r="R141" s="348">
        <v>2153</v>
      </c>
      <c r="S141" s="348">
        <v>2132</v>
      </c>
      <c r="T141" s="348">
        <v>1980</v>
      </c>
      <c r="U141" s="348">
        <v>1933</v>
      </c>
      <c r="V141" s="348">
        <v>1916</v>
      </c>
      <c r="W141" s="348">
        <v>2010</v>
      </c>
      <c r="X141" s="348">
        <v>1957</v>
      </c>
      <c r="Y141" s="348">
        <v>2045</v>
      </c>
      <c r="Z141" s="348">
        <v>2085</v>
      </c>
      <c r="AA141" s="348">
        <v>2099</v>
      </c>
      <c r="AB141" s="348">
        <v>2338</v>
      </c>
      <c r="AC141" s="348">
        <v>2136</v>
      </c>
      <c r="AD141" s="348">
        <v>1968</v>
      </c>
      <c r="AE141" s="348">
        <v>2136</v>
      </c>
      <c r="AF141" s="348">
        <v>2202</v>
      </c>
      <c r="AG141" s="348">
        <v>2393</v>
      </c>
      <c r="AH141" s="348">
        <v>2164</v>
      </c>
      <c r="AI141" s="348">
        <v>2479</v>
      </c>
      <c r="AJ141" s="348">
        <v>2283</v>
      </c>
      <c r="AK141" s="348">
        <v>2231</v>
      </c>
      <c r="AL141" s="348">
        <v>2454</v>
      </c>
      <c r="AM141" s="348">
        <v>2494</v>
      </c>
      <c r="AN141" s="348">
        <v>2477</v>
      </c>
      <c r="AO141" s="348">
        <v>2366</v>
      </c>
      <c r="AP141" s="348">
        <v>2510</v>
      </c>
      <c r="AQ141" s="348">
        <v>2091</v>
      </c>
      <c r="AR141" s="348">
        <v>2580</v>
      </c>
      <c r="AS141" s="348">
        <v>2311</v>
      </c>
      <c r="AT141" s="348">
        <v>2359</v>
      </c>
      <c r="AU141" s="348">
        <v>2342</v>
      </c>
      <c r="AV141" s="348">
        <v>2527</v>
      </c>
      <c r="AW141" s="348">
        <v>2395</v>
      </c>
      <c r="AX141" s="348">
        <v>2819</v>
      </c>
      <c r="AY141" s="348">
        <v>3026</v>
      </c>
      <c r="AZ141" s="348">
        <v>2436</v>
      </c>
      <c r="BA141" s="348">
        <v>2451</v>
      </c>
      <c r="BB141" s="348">
        <v>2440</v>
      </c>
      <c r="BC141" s="348">
        <v>2685</v>
      </c>
      <c r="BD141" s="348">
        <v>2643</v>
      </c>
      <c r="BE141" s="348">
        <v>2784</v>
      </c>
      <c r="BF141" s="348">
        <v>2322</v>
      </c>
      <c r="BG141" s="348">
        <v>2479</v>
      </c>
      <c r="BH141" s="348">
        <v>2707</v>
      </c>
      <c r="BI141" s="348">
        <v>2747</v>
      </c>
      <c r="BJ141" s="348">
        <v>2671</v>
      </c>
      <c r="BK141" s="348">
        <v>2849</v>
      </c>
      <c r="BL141" s="348">
        <v>3485</v>
      </c>
      <c r="BM141" s="348">
        <v>3345</v>
      </c>
      <c r="BN141" s="348">
        <v>3216</v>
      </c>
      <c r="BO141" s="348">
        <v>2722</v>
      </c>
      <c r="BP141" s="348">
        <v>3046</v>
      </c>
      <c r="BQ141" s="348">
        <v>2593</v>
      </c>
      <c r="BR141" s="348">
        <v>2652</v>
      </c>
      <c r="BS141" s="348">
        <v>2744</v>
      </c>
      <c r="BT141" s="348">
        <v>2927</v>
      </c>
      <c r="BU141" s="348">
        <v>2561</v>
      </c>
      <c r="BV141" s="348">
        <v>2864</v>
      </c>
      <c r="BW141" s="348">
        <v>3132</v>
      </c>
      <c r="BX141" s="348">
        <v>3258</v>
      </c>
      <c r="BY141" s="348">
        <v>3020</v>
      </c>
      <c r="BZ141" s="348">
        <v>2824</v>
      </c>
      <c r="CA141" s="348">
        <v>2912</v>
      </c>
      <c r="CB141" s="348">
        <v>3130</v>
      </c>
      <c r="CC141" s="348">
        <v>2455</v>
      </c>
      <c r="CD141" s="348">
        <v>2668</v>
      </c>
      <c r="CE141" s="348">
        <v>2554</v>
      </c>
      <c r="CF141" s="441">
        <v>2755</v>
      </c>
      <c r="CG141" s="441">
        <v>2507</v>
      </c>
      <c r="CH141" s="441">
        <v>2451</v>
      </c>
      <c r="CI141" s="441">
        <v>3050</v>
      </c>
      <c r="CJ141" s="441">
        <v>2659</v>
      </c>
      <c r="CK141" s="441">
        <v>2836</v>
      </c>
      <c r="CL141" s="441">
        <v>2447</v>
      </c>
      <c r="CM141" s="441">
        <v>3152</v>
      </c>
      <c r="CN141" s="441">
        <v>2461</v>
      </c>
      <c r="CO141" s="441">
        <v>2479</v>
      </c>
      <c r="CP141" s="441">
        <v>2647</v>
      </c>
      <c r="CQ141" s="441">
        <v>2708</v>
      </c>
      <c r="CR141" s="441">
        <v>2807</v>
      </c>
      <c r="CS141" s="441">
        <v>2562</v>
      </c>
      <c r="CT141" s="441">
        <v>2556</v>
      </c>
      <c r="CU141" s="441">
        <v>2415</v>
      </c>
      <c r="CV141" s="441">
        <v>2652</v>
      </c>
      <c r="CW141" s="441">
        <v>2215</v>
      </c>
      <c r="CX141" s="441">
        <v>2201</v>
      </c>
      <c r="CY141" s="441">
        <v>2052</v>
      </c>
      <c r="CZ141" s="441">
        <v>1944</v>
      </c>
      <c r="DA141" s="441">
        <v>1932</v>
      </c>
      <c r="DB141" s="441">
        <v>1797</v>
      </c>
      <c r="DC141" s="441">
        <v>1823</v>
      </c>
      <c r="DD141" s="441">
        <v>1853</v>
      </c>
      <c r="DE141" s="441">
        <v>1677</v>
      </c>
      <c r="DF141" s="441">
        <v>1757</v>
      </c>
      <c r="DG141" s="441">
        <v>1837</v>
      </c>
      <c r="DH141" s="441">
        <v>1835</v>
      </c>
      <c r="DI141" s="441">
        <v>1764</v>
      </c>
      <c r="DJ141" s="441">
        <v>1780</v>
      </c>
      <c r="DK141" s="441">
        <v>1732</v>
      </c>
      <c r="DL141" s="441">
        <v>1583</v>
      </c>
      <c r="DM141" s="441">
        <v>1713</v>
      </c>
      <c r="DN141" s="441">
        <v>1625</v>
      </c>
      <c r="DO141" s="441">
        <v>1856</v>
      </c>
      <c r="DP141" s="441">
        <v>2187</v>
      </c>
      <c r="DQ141" s="441">
        <v>1732</v>
      </c>
      <c r="DR141" s="441">
        <v>1779</v>
      </c>
      <c r="DS141" s="441">
        <v>1899</v>
      </c>
      <c r="DT141" s="441">
        <v>1879</v>
      </c>
      <c r="DU141" s="441">
        <v>1943</v>
      </c>
      <c r="DV141" s="441">
        <v>2161</v>
      </c>
      <c r="DW141" s="441">
        <v>2090</v>
      </c>
      <c r="DX141" s="441">
        <v>2092</v>
      </c>
      <c r="DY141" s="441">
        <v>1938</v>
      </c>
      <c r="DZ141" s="441">
        <v>2136</v>
      </c>
      <c r="EA141" s="441">
        <v>2217</v>
      </c>
      <c r="EB141" s="441">
        <v>2046</v>
      </c>
      <c r="EC141" s="441">
        <v>2054</v>
      </c>
      <c r="ED141" s="441">
        <v>2010</v>
      </c>
      <c r="EE141" s="441">
        <v>2619</v>
      </c>
      <c r="EF141" s="441">
        <v>2512</v>
      </c>
      <c r="EG141" s="441">
        <v>2106</v>
      </c>
      <c r="EH141" s="441">
        <v>2314</v>
      </c>
      <c r="EI141" s="441">
        <v>2367</v>
      </c>
      <c r="EJ141" s="441">
        <v>2208</v>
      </c>
      <c r="EK141" s="441">
        <v>2244</v>
      </c>
      <c r="EL141" s="441">
        <v>1981</v>
      </c>
      <c r="EM141" s="441">
        <v>2035</v>
      </c>
      <c r="EN141" s="441">
        <v>2044</v>
      </c>
      <c r="EO141" s="441">
        <v>1991</v>
      </c>
      <c r="EP141" s="441">
        <v>2149</v>
      </c>
      <c r="EQ141" s="441">
        <v>2192</v>
      </c>
      <c r="ER141" s="441">
        <v>2139</v>
      </c>
      <c r="ES141" s="441">
        <v>2567</v>
      </c>
      <c r="ET141" s="441">
        <v>2399</v>
      </c>
      <c r="EU141" s="441">
        <v>4951</v>
      </c>
      <c r="EV141" s="441">
        <v>2144</v>
      </c>
      <c r="EW141" s="441">
        <v>2062</v>
      </c>
      <c r="EX141" s="441">
        <v>2666</v>
      </c>
      <c r="EY141" s="441">
        <v>2237</v>
      </c>
      <c r="EZ141" s="441">
        <v>2326</v>
      </c>
      <c r="FA141" s="441">
        <v>2174</v>
      </c>
      <c r="FB141" s="441">
        <v>2183</v>
      </c>
      <c r="FC141" s="441">
        <v>2545</v>
      </c>
      <c r="FD141" s="441">
        <v>2722</v>
      </c>
      <c r="FE141" s="441">
        <v>2360</v>
      </c>
      <c r="FF141" s="441">
        <v>2181</v>
      </c>
      <c r="FG141" s="441">
        <v>2028</v>
      </c>
      <c r="FH141" s="441">
        <v>2112</v>
      </c>
      <c r="FI141" s="441">
        <v>2075</v>
      </c>
      <c r="FJ141" s="441">
        <v>2131</v>
      </c>
      <c r="FK141" s="441">
        <v>2247</v>
      </c>
      <c r="FL141" s="441">
        <v>2079</v>
      </c>
      <c r="FM141" s="441">
        <v>2184</v>
      </c>
      <c r="FN141" s="441">
        <v>2502</v>
      </c>
      <c r="FO141" s="441">
        <v>2452</v>
      </c>
      <c r="FP141" s="441">
        <v>2281</v>
      </c>
      <c r="FQ141" s="441">
        <v>2325</v>
      </c>
      <c r="FR141" s="441">
        <v>2213</v>
      </c>
      <c r="FS141" s="441">
        <v>2285</v>
      </c>
      <c r="FT141" s="441">
        <v>2363</v>
      </c>
      <c r="FU141" s="441">
        <v>2204</v>
      </c>
      <c r="FV141" s="441">
        <v>2143</v>
      </c>
      <c r="FW141" s="441">
        <v>2257</v>
      </c>
      <c r="FX141" s="441">
        <v>2402</v>
      </c>
      <c r="FY141" s="441">
        <v>2188</v>
      </c>
      <c r="FZ141" s="441">
        <v>2358</v>
      </c>
      <c r="GA141" s="441">
        <v>2444</v>
      </c>
      <c r="GB141" s="441">
        <v>2386</v>
      </c>
      <c r="GC141" s="441">
        <v>2453</v>
      </c>
      <c r="GD141" s="441">
        <v>2366</v>
      </c>
      <c r="GE141" s="441">
        <v>2465</v>
      </c>
      <c r="GF141" s="441">
        <v>2499</v>
      </c>
      <c r="GG141" s="441">
        <v>2192</v>
      </c>
      <c r="GH141" s="441">
        <v>2453</v>
      </c>
      <c r="GI141" s="441">
        <v>2368</v>
      </c>
      <c r="GJ141" s="441">
        <v>2407</v>
      </c>
      <c r="GK141" s="430">
        <v>2367</v>
      </c>
    </row>
    <row r="142" spans="1:193">
      <c r="A142" s="231" t="s">
        <v>239</v>
      </c>
      <c r="B142" s="442">
        <v>8586</v>
      </c>
      <c r="C142" s="442">
        <v>8475</v>
      </c>
      <c r="D142" s="442">
        <v>8679</v>
      </c>
      <c r="E142" s="442">
        <v>8608</v>
      </c>
      <c r="F142" s="442">
        <v>8906</v>
      </c>
      <c r="G142" s="442">
        <v>8615</v>
      </c>
      <c r="H142" s="442">
        <v>8729</v>
      </c>
      <c r="I142" s="442">
        <v>9206</v>
      </c>
      <c r="J142" s="442">
        <v>8433</v>
      </c>
      <c r="K142" s="442">
        <v>8747</v>
      </c>
      <c r="L142" s="442">
        <v>9219</v>
      </c>
      <c r="M142" s="442">
        <v>8802</v>
      </c>
      <c r="N142" s="442">
        <v>8467</v>
      </c>
      <c r="O142" s="442">
        <v>8115</v>
      </c>
      <c r="P142" s="442">
        <v>8171</v>
      </c>
      <c r="Q142" s="442">
        <v>8661</v>
      </c>
      <c r="R142" s="442">
        <v>8137</v>
      </c>
      <c r="S142" s="442">
        <v>8973</v>
      </c>
      <c r="T142" s="442">
        <v>8923</v>
      </c>
      <c r="U142" s="442">
        <v>9040</v>
      </c>
      <c r="V142" s="442">
        <v>10093</v>
      </c>
      <c r="W142" s="442">
        <v>10478</v>
      </c>
      <c r="X142" s="442">
        <v>10736</v>
      </c>
      <c r="Y142" s="442">
        <v>10923</v>
      </c>
      <c r="Z142" s="442">
        <v>9542</v>
      </c>
      <c r="AA142" s="442">
        <v>10160</v>
      </c>
      <c r="AB142" s="442">
        <v>11057</v>
      </c>
      <c r="AC142" s="442">
        <v>10475</v>
      </c>
      <c r="AD142" s="442">
        <v>10608</v>
      </c>
      <c r="AE142" s="442">
        <v>11151</v>
      </c>
      <c r="AF142" s="442">
        <v>10917</v>
      </c>
      <c r="AG142" s="442">
        <v>11030</v>
      </c>
      <c r="AH142" s="442">
        <v>11819</v>
      </c>
      <c r="AI142" s="442">
        <v>11526</v>
      </c>
      <c r="AJ142" s="442">
        <v>11286</v>
      </c>
      <c r="AK142" s="442">
        <v>10996</v>
      </c>
      <c r="AL142" s="442">
        <v>11887</v>
      </c>
      <c r="AM142" s="442">
        <v>11412</v>
      </c>
      <c r="AN142" s="442">
        <v>12406</v>
      </c>
      <c r="AO142" s="442">
        <v>12039</v>
      </c>
      <c r="AP142" s="442">
        <v>12346</v>
      </c>
      <c r="AQ142" s="442">
        <v>12092</v>
      </c>
      <c r="AR142" s="442">
        <v>11799</v>
      </c>
      <c r="AS142" s="442">
        <v>12325</v>
      </c>
      <c r="AT142" s="442">
        <v>12815</v>
      </c>
      <c r="AU142" s="442">
        <v>12118</v>
      </c>
      <c r="AV142" s="442">
        <v>12757</v>
      </c>
      <c r="AW142" s="442">
        <v>12142</v>
      </c>
      <c r="AX142" s="442">
        <v>12039</v>
      </c>
      <c r="AY142" s="442">
        <v>12132</v>
      </c>
      <c r="AZ142" s="442">
        <v>12829</v>
      </c>
      <c r="BA142" s="442">
        <v>12451</v>
      </c>
      <c r="BB142" s="442">
        <v>13064</v>
      </c>
      <c r="BC142" s="442">
        <v>13034</v>
      </c>
      <c r="BD142" s="442">
        <v>13254</v>
      </c>
      <c r="BE142" s="442">
        <v>13895</v>
      </c>
      <c r="BF142" s="442">
        <v>14225</v>
      </c>
      <c r="BG142" s="442">
        <v>13774</v>
      </c>
      <c r="BH142" s="442">
        <v>14585</v>
      </c>
      <c r="BI142" s="442">
        <v>13663</v>
      </c>
      <c r="BJ142" s="442">
        <v>13972</v>
      </c>
      <c r="BK142" s="442">
        <v>14650</v>
      </c>
      <c r="BL142" s="442">
        <v>14748</v>
      </c>
      <c r="BM142" s="442">
        <v>14592</v>
      </c>
      <c r="BN142" s="442">
        <v>15931</v>
      </c>
      <c r="BO142" s="442">
        <v>15687</v>
      </c>
      <c r="BP142" s="442">
        <v>15471</v>
      </c>
      <c r="BQ142" s="442">
        <v>16499</v>
      </c>
      <c r="BR142" s="442">
        <v>15928</v>
      </c>
      <c r="BS142" s="442">
        <v>16986</v>
      </c>
      <c r="BT142" s="442">
        <v>16683</v>
      </c>
      <c r="BU142" s="442">
        <v>15771</v>
      </c>
      <c r="BV142" s="442">
        <v>15769</v>
      </c>
      <c r="BW142" s="442">
        <v>17382</v>
      </c>
      <c r="BX142" s="442">
        <v>17419</v>
      </c>
      <c r="BY142" s="442">
        <v>17238</v>
      </c>
      <c r="BZ142" s="442">
        <v>17310</v>
      </c>
      <c r="CA142" s="442">
        <v>16790</v>
      </c>
      <c r="CB142" s="442">
        <v>17707</v>
      </c>
      <c r="CC142" s="442">
        <v>19874</v>
      </c>
      <c r="CD142" s="442">
        <v>18363</v>
      </c>
      <c r="CE142" s="442">
        <v>18272</v>
      </c>
      <c r="CF142" s="442">
        <v>19396</v>
      </c>
      <c r="CG142" s="442">
        <v>18066</v>
      </c>
      <c r="CH142" s="442">
        <v>18998</v>
      </c>
      <c r="CI142" s="442">
        <v>18225</v>
      </c>
      <c r="CJ142" s="442">
        <v>18183</v>
      </c>
      <c r="CK142" s="442">
        <v>19086</v>
      </c>
      <c r="CL142" s="442">
        <v>19505</v>
      </c>
      <c r="CM142" s="442">
        <v>21699</v>
      </c>
      <c r="CN142" s="442">
        <v>23032</v>
      </c>
      <c r="CO142" s="442">
        <v>23655</v>
      </c>
      <c r="CP142" s="442">
        <v>26353</v>
      </c>
      <c r="CQ142" s="442">
        <v>28134</v>
      </c>
      <c r="CR142" s="442">
        <v>26595</v>
      </c>
      <c r="CS142" s="442">
        <v>24784</v>
      </c>
      <c r="CT142" s="442">
        <v>23629</v>
      </c>
      <c r="CU142" s="442">
        <v>24513</v>
      </c>
      <c r="CV142" s="442">
        <v>25631</v>
      </c>
      <c r="CW142" s="442">
        <v>25433</v>
      </c>
      <c r="CX142" s="442">
        <v>25176</v>
      </c>
      <c r="CY142" s="442">
        <v>25086</v>
      </c>
      <c r="CZ142" s="442">
        <v>24981</v>
      </c>
      <c r="DA142" s="442">
        <v>24579</v>
      </c>
      <c r="DB142" s="442">
        <v>25139</v>
      </c>
      <c r="DC142" s="442">
        <v>25308</v>
      </c>
      <c r="DD142" s="442">
        <v>25200</v>
      </c>
      <c r="DE142" s="442">
        <v>25326</v>
      </c>
      <c r="DF142" s="442">
        <v>23537</v>
      </c>
      <c r="DG142" s="442">
        <v>24592</v>
      </c>
      <c r="DH142" s="442">
        <v>25755</v>
      </c>
      <c r="DI142" s="442">
        <v>26211</v>
      </c>
      <c r="DJ142" s="442">
        <v>26557</v>
      </c>
      <c r="DK142" s="442">
        <v>27378</v>
      </c>
      <c r="DL142" s="442">
        <v>28744</v>
      </c>
      <c r="DM142" s="442">
        <v>29014</v>
      </c>
      <c r="DN142" s="442">
        <v>29014</v>
      </c>
      <c r="DO142" s="442">
        <v>30530</v>
      </c>
      <c r="DP142" s="442">
        <v>30927</v>
      </c>
      <c r="DQ142" s="442">
        <v>27870</v>
      </c>
      <c r="DR142" s="442">
        <v>29172</v>
      </c>
      <c r="DS142" s="442">
        <v>28731</v>
      </c>
      <c r="DT142" s="442">
        <v>31120</v>
      </c>
      <c r="DU142" s="442">
        <v>30416</v>
      </c>
      <c r="DV142" s="442">
        <v>33432</v>
      </c>
      <c r="DW142" s="442">
        <v>34001</v>
      </c>
      <c r="DX142" s="442">
        <v>33338</v>
      </c>
      <c r="DY142" s="442">
        <v>36999</v>
      </c>
      <c r="DZ142" s="442">
        <v>36495</v>
      </c>
      <c r="EA142" s="442">
        <v>35496</v>
      </c>
      <c r="EB142" s="442">
        <v>37493</v>
      </c>
      <c r="EC142" s="442">
        <v>35573</v>
      </c>
      <c r="ED142" s="442">
        <v>41050</v>
      </c>
      <c r="EE142" s="442">
        <v>43486</v>
      </c>
      <c r="EF142" s="442">
        <v>46658</v>
      </c>
      <c r="EG142" s="442">
        <v>49324</v>
      </c>
      <c r="EH142" s="442">
        <v>49329</v>
      </c>
      <c r="EI142" s="442">
        <v>49069</v>
      </c>
      <c r="EJ142" s="442">
        <v>52463</v>
      </c>
      <c r="EK142" s="442">
        <v>54945</v>
      </c>
      <c r="EL142" s="442">
        <v>52042</v>
      </c>
      <c r="EM142" s="442">
        <v>51405</v>
      </c>
      <c r="EN142" s="442">
        <v>51343</v>
      </c>
      <c r="EO142" s="442">
        <v>51030</v>
      </c>
      <c r="EP142" s="442">
        <v>53332</v>
      </c>
      <c r="EQ142" s="442">
        <v>56415</v>
      </c>
      <c r="ER142" s="442">
        <v>56427</v>
      </c>
      <c r="ES142" s="442">
        <v>59274</v>
      </c>
      <c r="ET142" s="442">
        <v>59459</v>
      </c>
      <c r="EU142" s="442">
        <v>60281</v>
      </c>
      <c r="EV142" s="442">
        <v>65651</v>
      </c>
      <c r="EW142" s="442">
        <v>65161</v>
      </c>
      <c r="EX142" s="442">
        <v>61911</v>
      </c>
      <c r="EY142" s="442">
        <v>62768</v>
      </c>
      <c r="EZ142" s="442">
        <v>63917</v>
      </c>
      <c r="FA142" s="442">
        <v>58913</v>
      </c>
      <c r="FB142" s="442">
        <v>57306</v>
      </c>
      <c r="FC142" s="442">
        <v>62480</v>
      </c>
      <c r="FD142" s="442">
        <v>62418</v>
      </c>
      <c r="FE142" s="442">
        <v>62214</v>
      </c>
      <c r="FF142" s="442">
        <v>62162</v>
      </c>
      <c r="FG142" s="442">
        <v>62022</v>
      </c>
      <c r="FH142" s="442">
        <v>63270</v>
      </c>
      <c r="FI142" s="442">
        <v>61069</v>
      </c>
      <c r="FJ142" s="442">
        <v>64458</v>
      </c>
      <c r="FK142" s="442">
        <v>62320</v>
      </c>
      <c r="FL142" s="442">
        <v>64106</v>
      </c>
      <c r="FM142" s="442">
        <v>59552</v>
      </c>
      <c r="FN142" s="442">
        <v>55070</v>
      </c>
      <c r="FO142" s="442">
        <v>58670</v>
      </c>
      <c r="FP142" s="442">
        <v>58182</v>
      </c>
      <c r="FQ142" s="442">
        <v>56607</v>
      </c>
      <c r="FR142" s="442">
        <v>54140</v>
      </c>
      <c r="FS142" s="442">
        <v>50408</v>
      </c>
      <c r="FT142" s="442">
        <v>53653</v>
      </c>
      <c r="FU142" s="442">
        <v>54543</v>
      </c>
      <c r="FV142" s="442">
        <v>55606</v>
      </c>
      <c r="FW142" s="442">
        <v>54971</v>
      </c>
      <c r="FX142" s="442">
        <v>55288</v>
      </c>
      <c r="FY142" s="442">
        <v>52232</v>
      </c>
      <c r="FZ142" s="442">
        <v>49856</v>
      </c>
      <c r="GA142" s="442">
        <v>53465</v>
      </c>
      <c r="GB142" s="442">
        <v>52077</v>
      </c>
      <c r="GC142" s="442">
        <v>50175</v>
      </c>
      <c r="GD142" s="442">
        <v>53912</v>
      </c>
      <c r="GE142" s="442">
        <v>51412</v>
      </c>
      <c r="GF142" s="442">
        <v>53867</v>
      </c>
      <c r="GG142" s="442">
        <v>54737</v>
      </c>
      <c r="GH142" s="442">
        <v>50385</v>
      </c>
      <c r="GI142" s="442">
        <v>52632</v>
      </c>
      <c r="GJ142" s="442">
        <v>55827</v>
      </c>
      <c r="GK142" s="431">
        <v>49440</v>
      </c>
    </row>
    <row r="143" spans="1:193">
      <c r="A143" s="231" t="s">
        <v>241</v>
      </c>
      <c r="B143" s="348">
        <v>4697</v>
      </c>
      <c r="C143" s="348">
        <v>5090</v>
      </c>
      <c r="D143" s="348">
        <v>7427</v>
      </c>
      <c r="E143" s="348">
        <v>5361</v>
      </c>
      <c r="F143" s="348">
        <v>5213</v>
      </c>
      <c r="G143" s="348">
        <v>4836</v>
      </c>
      <c r="H143" s="348">
        <v>5304</v>
      </c>
      <c r="I143" s="348">
        <v>5151</v>
      </c>
      <c r="J143" s="348">
        <v>5034</v>
      </c>
      <c r="K143" s="348">
        <v>5426</v>
      </c>
      <c r="L143" s="348">
        <v>5475</v>
      </c>
      <c r="M143" s="348">
        <v>4635</v>
      </c>
      <c r="N143" s="348">
        <v>4456</v>
      </c>
      <c r="O143" s="348">
        <v>4972</v>
      </c>
      <c r="P143" s="348">
        <v>4789</v>
      </c>
      <c r="Q143" s="348">
        <v>4963</v>
      </c>
      <c r="R143" s="348">
        <v>4935</v>
      </c>
      <c r="S143" s="348">
        <v>4327</v>
      </c>
      <c r="T143" s="348">
        <v>5009</v>
      </c>
      <c r="U143" s="348">
        <v>4796</v>
      </c>
      <c r="V143" s="348">
        <v>4585</v>
      </c>
      <c r="W143" s="348">
        <v>4672</v>
      </c>
      <c r="X143" s="348">
        <v>5170</v>
      </c>
      <c r="Y143" s="348">
        <v>5104</v>
      </c>
      <c r="Z143" s="348">
        <v>4762</v>
      </c>
      <c r="AA143" s="348">
        <v>5239</v>
      </c>
      <c r="AB143" s="348">
        <v>5824</v>
      </c>
      <c r="AC143" s="348">
        <v>6192</v>
      </c>
      <c r="AD143" s="348">
        <v>5996</v>
      </c>
      <c r="AE143" s="348">
        <v>5953</v>
      </c>
      <c r="AF143" s="348">
        <v>6180</v>
      </c>
      <c r="AG143" s="348">
        <v>5664</v>
      </c>
      <c r="AH143" s="348">
        <v>5709</v>
      </c>
      <c r="AI143" s="348">
        <v>5261</v>
      </c>
      <c r="AJ143" s="348">
        <v>5820</v>
      </c>
      <c r="AK143" s="348">
        <v>5178</v>
      </c>
      <c r="AL143" s="348">
        <v>5006</v>
      </c>
      <c r="AM143" s="348">
        <v>5506</v>
      </c>
      <c r="AN143" s="348">
        <v>6598</v>
      </c>
      <c r="AO143" s="348">
        <v>6294</v>
      </c>
      <c r="AP143" s="348">
        <v>5937</v>
      </c>
      <c r="AQ143" s="348">
        <v>6725</v>
      </c>
      <c r="AR143" s="348">
        <v>6405</v>
      </c>
      <c r="AS143" s="348">
        <v>7030</v>
      </c>
      <c r="AT143" s="348">
        <v>7289</v>
      </c>
      <c r="AU143" s="348">
        <v>7789</v>
      </c>
      <c r="AV143" s="348">
        <v>7615</v>
      </c>
      <c r="AW143" s="348">
        <v>7603</v>
      </c>
      <c r="AX143" s="348">
        <v>7966</v>
      </c>
      <c r="AY143" s="348">
        <v>8805</v>
      </c>
      <c r="AZ143" s="348">
        <v>9432</v>
      </c>
      <c r="BA143" s="348">
        <v>9864</v>
      </c>
      <c r="BB143" s="348">
        <v>10010</v>
      </c>
      <c r="BC143" s="348">
        <v>9802</v>
      </c>
      <c r="BD143" s="348">
        <v>10624</v>
      </c>
      <c r="BE143" s="348">
        <v>10071</v>
      </c>
      <c r="BF143" s="348">
        <v>8776</v>
      </c>
      <c r="BG143" s="348">
        <v>9318</v>
      </c>
      <c r="BH143" s="348">
        <v>9253</v>
      </c>
      <c r="BI143" s="348">
        <v>8681</v>
      </c>
      <c r="BJ143" s="348">
        <v>8801</v>
      </c>
      <c r="BK143" s="348">
        <v>9634</v>
      </c>
      <c r="BL143" s="348">
        <v>9764</v>
      </c>
      <c r="BM143" s="348">
        <v>9818</v>
      </c>
      <c r="BN143" s="348">
        <v>10563</v>
      </c>
      <c r="BO143" s="348">
        <v>10706</v>
      </c>
      <c r="BP143" s="348">
        <v>10549</v>
      </c>
      <c r="BQ143" s="348">
        <v>11896</v>
      </c>
      <c r="BR143" s="348">
        <v>10897</v>
      </c>
      <c r="BS143" s="348">
        <v>11733</v>
      </c>
      <c r="BT143" s="348">
        <v>11777</v>
      </c>
      <c r="BU143" s="348">
        <v>11603</v>
      </c>
      <c r="BV143" s="348">
        <v>10742</v>
      </c>
      <c r="BW143" s="348">
        <v>12071</v>
      </c>
      <c r="BX143" s="348">
        <v>12469</v>
      </c>
      <c r="BY143" s="348">
        <v>11972</v>
      </c>
      <c r="BZ143" s="348">
        <v>12489</v>
      </c>
      <c r="CA143" s="348">
        <v>12546</v>
      </c>
      <c r="CB143" s="348">
        <v>12613</v>
      </c>
      <c r="CC143" s="348">
        <v>14245</v>
      </c>
      <c r="CD143" s="348">
        <v>13622</v>
      </c>
      <c r="CE143" s="348">
        <v>13009</v>
      </c>
      <c r="CF143" s="441">
        <v>13035</v>
      </c>
      <c r="CG143" s="441">
        <v>11666</v>
      </c>
      <c r="CH143" s="441">
        <v>12021</v>
      </c>
      <c r="CI143" s="441">
        <v>12591</v>
      </c>
      <c r="CJ143" s="441">
        <v>12336</v>
      </c>
      <c r="CK143" s="441">
        <v>12957</v>
      </c>
      <c r="CL143" s="441">
        <v>13185</v>
      </c>
      <c r="CM143" s="441">
        <v>13656</v>
      </c>
      <c r="CN143" s="441">
        <v>14204</v>
      </c>
      <c r="CO143" s="441">
        <v>13899</v>
      </c>
      <c r="CP143" s="441">
        <v>12932</v>
      </c>
      <c r="CQ143" s="441">
        <v>12778</v>
      </c>
      <c r="CR143" s="441">
        <v>11298</v>
      </c>
      <c r="CS143" s="441">
        <v>10364</v>
      </c>
      <c r="CT143" s="441">
        <v>9324</v>
      </c>
      <c r="CU143" s="441">
        <v>8019</v>
      </c>
      <c r="CV143" s="441">
        <v>7544</v>
      </c>
      <c r="CW143" s="441">
        <v>7081</v>
      </c>
      <c r="CX143" s="441">
        <v>6803</v>
      </c>
      <c r="CY143" s="441">
        <v>6757</v>
      </c>
      <c r="CZ143" s="441">
        <v>7024</v>
      </c>
      <c r="DA143" s="441">
        <v>8029</v>
      </c>
      <c r="DB143" s="441">
        <v>6755</v>
      </c>
      <c r="DC143" s="441">
        <v>7120</v>
      </c>
      <c r="DD143" s="441">
        <v>6882</v>
      </c>
      <c r="DE143" s="441">
        <v>6813</v>
      </c>
      <c r="DF143" s="441">
        <v>6891</v>
      </c>
      <c r="DG143" s="441">
        <v>7531</v>
      </c>
      <c r="DH143" s="441">
        <v>7760</v>
      </c>
      <c r="DI143" s="441">
        <v>6980</v>
      </c>
      <c r="DJ143" s="441">
        <v>7299</v>
      </c>
      <c r="DK143" s="441">
        <v>8062</v>
      </c>
      <c r="DL143" s="441">
        <v>7838</v>
      </c>
      <c r="DM143" s="441">
        <v>8130</v>
      </c>
      <c r="DN143" s="441">
        <v>8442</v>
      </c>
      <c r="DO143" s="441">
        <v>9064</v>
      </c>
      <c r="DP143" s="441">
        <v>9000</v>
      </c>
      <c r="DQ143" s="441">
        <v>8675</v>
      </c>
      <c r="DR143" s="441">
        <v>8539</v>
      </c>
      <c r="DS143" s="441">
        <v>9703</v>
      </c>
      <c r="DT143" s="441">
        <v>9723</v>
      </c>
      <c r="DU143" s="441">
        <v>9437</v>
      </c>
      <c r="DV143" s="441">
        <v>10261</v>
      </c>
      <c r="DW143" s="441">
        <v>10142</v>
      </c>
      <c r="DX143" s="441">
        <v>9304</v>
      </c>
      <c r="DY143" s="441">
        <v>9533</v>
      </c>
      <c r="DZ143" s="441">
        <v>9103</v>
      </c>
      <c r="EA143" s="441">
        <v>9322</v>
      </c>
      <c r="EB143" s="441">
        <v>9235</v>
      </c>
      <c r="EC143" s="441">
        <v>8538</v>
      </c>
      <c r="ED143" s="441">
        <v>8216</v>
      </c>
      <c r="EE143" s="441">
        <v>8974</v>
      </c>
      <c r="EF143" s="441">
        <v>8389</v>
      </c>
      <c r="EG143" s="441">
        <v>7795</v>
      </c>
      <c r="EH143" s="441">
        <v>7966</v>
      </c>
      <c r="EI143" s="441">
        <v>8007</v>
      </c>
      <c r="EJ143" s="441">
        <v>8041</v>
      </c>
      <c r="EK143" s="441">
        <v>8169</v>
      </c>
      <c r="EL143" s="441">
        <v>7800</v>
      </c>
      <c r="EM143" s="441">
        <v>8954</v>
      </c>
      <c r="EN143" s="441">
        <v>8221</v>
      </c>
      <c r="EO143" s="441">
        <v>7105</v>
      </c>
      <c r="EP143" s="441">
        <v>7081</v>
      </c>
      <c r="EQ143" s="441">
        <v>7332</v>
      </c>
      <c r="ER143" s="441">
        <v>7271</v>
      </c>
      <c r="ES143" s="441">
        <v>7442</v>
      </c>
      <c r="ET143" s="441">
        <v>7133</v>
      </c>
      <c r="EU143" s="441">
        <v>7103</v>
      </c>
      <c r="EV143" s="441">
        <v>6918</v>
      </c>
      <c r="EW143" s="441">
        <v>6648</v>
      </c>
      <c r="EX143" s="441">
        <v>6730</v>
      </c>
      <c r="EY143" s="441">
        <v>7259</v>
      </c>
      <c r="EZ143" s="441">
        <v>6907</v>
      </c>
      <c r="FA143" s="441">
        <v>6108</v>
      </c>
      <c r="FB143" s="441">
        <v>6147</v>
      </c>
      <c r="FC143" s="441">
        <v>6112</v>
      </c>
      <c r="FD143" s="441">
        <v>6391</v>
      </c>
      <c r="FE143" s="441">
        <v>5801</v>
      </c>
      <c r="FF143" s="441">
        <v>6670</v>
      </c>
      <c r="FG143" s="441">
        <v>6038</v>
      </c>
      <c r="FH143" s="441">
        <v>6251</v>
      </c>
      <c r="FI143" s="441">
        <v>6058</v>
      </c>
      <c r="FJ143" s="441">
        <v>5946</v>
      </c>
      <c r="FK143" s="441">
        <v>6285</v>
      </c>
      <c r="FL143" s="441">
        <v>6273</v>
      </c>
      <c r="FM143" s="441">
        <v>5902</v>
      </c>
      <c r="FN143" s="441">
        <v>5756</v>
      </c>
      <c r="FO143" s="441">
        <v>6217</v>
      </c>
      <c r="FP143" s="441">
        <v>6006</v>
      </c>
      <c r="FQ143" s="441">
        <v>5966</v>
      </c>
      <c r="FR143" s="441">
        <v>6252</v>
      </c>
      <c r="FS143" s="441">
        <v>6275</v>
      </c>
      <c r="FT143" s="441">
        <v>6050</v>
      </c>
      <c r="FU143" s="441">
        <v>5956</v>
      </c>
      <c r="FV143" s="441">
        <v>5977</v>
      </c>
      <c r="FW143" s="441">
        <v>7032</v>
      </c>
      <c r="FX143" s="441">
        <v>5743</v>
      </c>
      <c r="FY143" s="441">
        <v>5278</v>
      </c>
      <c r="FZ143" s="441">
        <v>5116</v>
      </c>
      <c r="GA143" s="441">
        <v>5246</v>
      </c>
      <c r="GB143" s="441">
        <v>5396</v>
      </c>
      <c r="GC143" s="441">
        <v>5159</v>
      </c>
      <c r="GD143" s="441">
        <v>5491</v>
      </c>
      <c r="GE143" s="441">
        <v>5292</v>
      </c>
      <c r="GF143" s="441">
        <v>5496</v>
      </c>
      <c r="GG143" s="441">
        <v>5392</v>
      </c>
      <c r="GH143" s="441">
        <v>5517</v>
      </c>
      <c r="GI143" s="441">
        <v>5756</v>
      </c>
      <c r="GJ143" s="441">
        <v>5987</v>
      </c>
      <c r="GK143" s="430">
        <v>5484</v>
      </c>
    </row>
    <row r="144" spans="1:193">
      <c r="A144" s="231" t="s">
        <v>244</v>
      </c>
      <c r="B144" s="442">
        <v>681</v>
      </c>
      <c r="C144" s="442">
        <v>664</v>
      </c>
      <c r="D144" s="442">
        <v>686</v>
      </c>
      <c r="E144" s="442">
        <v>661</v>
      </c>
      <c r="F144" s="442">
        <v>723</v>
      </c>
      <c r="G144" s="442">
        <v>700</v>
      </c>
      <c r="H144" s="442">
        <v>720</v>
      </c>
      <c r="I144" s="442">
        <v>693</v>
      </c>
      <c r="J144" s="442">
        <v>629</v>
      </c>
      <c r="K144" s="442">
        <v>874</v>
      </c>
      <c r="L144" s="442">
        <v>774</v>
      </c>
      <c r="M144" s="442">
        <v>729</v>
      </c>
      <c r="N144" s="442">
        <v>653</v>
      </c>
      <c r="O144" s="442">
        <v>808</v>
      </c>
      <c r="P144" s="442">
        <v>584</v>
      </c>
      <c r="Q144" s="442">
        <v>631</v>
      </c>
      <c r="R144" s="442">
        <v>620</v>
      </c>
      <c r="S144" s="442">
        <v>691</v>
      </c>
      <c r="T144" s="442">
        <v>626</v>
      </c>
      <c r="U144" s="442">
        <v>679</v>
      </c>
      <c r="V144" s="442">
        <v>684</v>
      </c>
      <c r="W144" s="442">
        <v>698</v>
      </c>
      <c r="X144" s="442">
        <v>650</v>
      </c>
      <c r="Y144" s="442">
        <v>630</v>
      </c>
      <c r="Z144" s="442">
        <v>689</v>
      </c>
      <c r="AA144" s="442">
        <v>676</v>
      </c>
      <c r="AB144" s="442">
        <v>628</v>
      </c>
      <c r="AC144" s="442">
        <v>646</v>
      </c>
      <c r="AD144" s="442">
        <v>698</v>
      </c>
      <c r="AE144" s="442">
        <v>670</v>
      </c>
      <c r="AF144" s="442">
        <v>645</v>
      </c>
      <c r="AG144" s="442">
        <v>711</v>
      </c>
      <c r="AH144" s="442">
        <v>688</v>
      </c>
      <c r="AI144" s="442">
        <v>662</v>
      </c>
      <c r="AJ144" s="442">
        <v>682</v>
      </c>
      <c r="AK144" s="442">
        <v>573</v>
      </c>
      <c r="AL144" s="442">
        <v>654</v>
      </c>
      <c r="AM144" s="442">
        <v>663</v>
      </c>
      <c r="AN144" s="442">
        <v>637</v>
      </c>
      <c r="AO144" s="442">
        <v>642</v>
      </c>
      <c r="AP144" s="442">
        <v>647</v>
      </c>
      <c r="AQ144" s="442">
        <v>761</v>
      </c>
      <c r="AR144" s="442">
        <v>747</v>
      </c>
      <c r="AS144" s="442">
        <v>656</v>
      </c>
      <c r="AT144" s="442">
        <v>690</v>
      </c>
      <c r="AU144" s="442">
        <v>695</v>
      </c>
      <c r="AV144" s="442">
        <v>715</v>
      </c>
      <c r="AW144" s="442">
        <v>706</v>
      </c>
      <c r="AX144" s="442">
        <v>775</v>
      </c>
      <c r="AY144" s="442">
        <v>882</v>
      </c>
      <c r="AZ144" s="442">
        <v>852</v>
      </c>
      <c r="BA144" s="442">
        <v>805</v>
      </c>
      <c r="BB144" s="442">
        <v>813</v>
      </c>
      <c r="BC144" s="442">
        <v>880</v>
      </c>
      <c r="BD144" s="442">
        <v>813</v>
      </c>
      <c r="BE144" s="442">
        <v>855</v>
      </c>
      <c r="BF144" s="442">
        <v>1177</v>
      </c>
      <c r="BG144" s="442">
        <v>831</v>
      </c>
      <c r="BH144" s="442">
        <v>823</v>
      </c>
      <c r="BI144" s="442">
        <v>725</v>
      </c>
      <c r="BJ144" s="442">
        <v>714</v>
      </c>
      <c r="BK144" s="442">
        <v>828</v>
      </c>
      <c r="BL144" s="442">
        <v>814</v>
      </c>
      <c r="BM144" s="442">
        <v>810</v>
      </c>
      <c r="BN144" s="442">
        <v>830</v>
      </c>
      <c r="BO144" s="442">
        <v>840</v>
      </c>
      <c r="BP144" s="442">
        <v>789</v>
      </c>
      <c r="BQ144" s="442">
        <v>877</v>
      </c>
      <c r="BR144" s="442">
        <v>873</v>
      </c>
      <c r="BS144" s="442">
        <v>940</v>
      </c>
      <c r="BT144" s="442">
        <v>926</v>
      </c>
      <c r="BU144" s="442">
        <v>816</v>
      </c>
      <c r="BV144" s="442">
        <v>841</v>
      </c>
      <c r="BW144" s="442">
        <v>874</v>
      </c>
      <c r="BX144" s="442">
        <v>844</v>
      </c>
      <c r="BY144" s="442">
        <v>829</v>
      </c>
      <c r="BZ144" s="442">
        <v>931</v>
      </c>
      <c r="CA144" s="442">
        <v>859</v>
      </c>
      <c r="CB144" s="442">
        <v>871</v>
      </c>
      <c r="CC144" s="442">
        <v>936</v>
      </c>
      <c r="CD144" s="442">
        <v>858</v>
      </c>
      <c r="CE144" s="442">
        <v>878</v>
      </c>
      <c r="CF144" s="442">
        <v>858</v>
      </c>
      <c r="CG144" s="442">
        <v>798</v>
      </c>
      <c r="CH144" s="442">
        <v>804</v>
      </c>
      <c r="CI144" s="442">
        <v>785</v>
      </c>
      <c r="CJ144" s="442">
        <v>790</v>
      </c>
      <c r="CK144" s="442">
        <v>856</v>
      </c>
      <c r="CL144" s="442">
        <v>813</v>
      </c>
      <c r="CM144" s="442">
        <v>871</v>
      </c>
      <c r="CN144" s="442">
        <v>935</v>
      </c>
      <c r="CO144" s="442">
        <v>1005</v>
      </c>
      <c r="CP144" s="442">
        <v>886</v>
      </c>
      <c r="CQ144" s="442">
        <v>947</v>
      </c>
      <c r="CR144" s="442">
        <v>875</v>
      </c>
      <c r="CS144" s="442">
        <v>831</v>
      </c>
      <c r="CT144" s="442">
        <v>766</v>
      </c>
      <c r="CU144" s="442">
        <v>861</v>
      </c>
      <c r="CV144" s="442">
        <v>903</v>
      </c>
      <c r="CW144" s="442">
        <v>926</v>
      </c>
      <c r="CX144" s="442">
        <v>1153</v>
      </c>
      <c r="CY144" s="442">
        <v>965</v>
      </c>
      <c r="CZ144" s="442">
        <v>888</v>
      </c>
      <c r="DA144" s="442">
        <v>912</v>
      </c>
      <c r="DB144" s="442">
        <v>959</v>
      </c>
      <c r="DC144" s="442">
        <v>931</v>
      </c>
      <c r="DD144" s="442">
        <v>959</v>
      </c>
      <c r="DE144" s="442">
        <v>855</v>
      </c>
      <c r="DF144" s="442">
        <v>963</v>
      </c>
      <c r="DG144" s="442">
        <v>981</v>
      </c>
      <c r="DH144" s="442">
        <v>910</v>
      </c>
      <c r="DI144" s="442">
        <v>1029</v>
      </c>
      <c r="DJ144" s="442">
        <v>1152</v>
      </c>
      <c r="DK144" s="442">
        <v>1295</v>
      </c>
      <c r="DL144" s="442">
        <v>1722</v>
      </c>
      <c r="DM144" s="442">
        <v>1966</v>
      </c>
      <c r="DN144" s="442">
        <v>1446</v>
      </c>
      <c r="DO144" s="442">
        <v>1594</v>
      </c>
      <c r="DP144" s="442">
        <v>1408</v>
      </c>
      <c r="DQ144" s="442">
        <v>1043</v>
      </c>
      <c r="DR144" s="442">
        <v>948</v>
      </c>
      <c r="DS144" s="442">
        <v>943</v>
      </c>
      <c r="DT144" s="442">
        <v>1104</v>
      </c>
      <c r="DU144" s="442">
        <v>1109</v>
      </c>
      <c r="DV144" s="442">
        <v>1078</v>
      </c>
      <c r="DW144" s="442">
        <v>1185</v>
      </c>
      <c r="DX144" s="442">
        <v>1126</v>
      </c>
      <c r="DY144" s="442">
        <v>1199</v>
      </c>
      <c r="DZ144" s="442">
        <v>1123</v>
      </c>
      <c r="EA144" s="442">
        <v>1036</v>
      </c>
      <c r="EB144" s="442">
        <v>1026</v>
      </c>
      <c r="EC144" s="442">
        <v>962</v>
      </c>
      <c r="ED144" s="442">
        <v>1125</v>
      </c>
      <c r="EE144" s="442">
        <v>1162</v>
      </c>
      <c r="EF144" s="442">
        <v>1164</v>
      </c>
      <c r="EG144" s="442">
        <v>1141</v>
      </c>
      <c r="EH144" s="442">
        <v>1063</v>
      </c>
      <c r="EI144" s="442">
        <v>1034</v>
      </c>
      <c r="EJ144" s="442">
        <v>991</v>
      </c>
      <c r="EK144" s="442">
        <v>1192</v>
      </c>
      <c r="EL144" s="442">
        <v>1106</v>
      </c>
      <c r="EM144" s="442">
        <v>1140</v>
      </c>
      <c r="EN144" s="442">
        <v>1177</v>
      </c>
      <c r="EO144" s="442">
        <v>1141</v>
      </c>
      <c r="EP144" s="442">
        <v>1054</v>
      </c>
      <c r="EQ144" s="442">
        <v>1164</v>
      </c>
      <c r="ER144" s="442">
        <v>1143</v>
      </c>
      <c r="ES144" s="442">
        <v>1146</v>
      </c>
      <c r="ET144" s="442">
        <v>1190</v>
      </c>
      <c r="EU144" s="442">
        <v>1194</v>
      </c>
      <c r="EV144" s="442">
        <v>1246</v>
      </c>
      <c r="EW144" s="442">
        <v>1227</v>
      </c>
      <c r="EX144" s="442">
        <v>1243</v>
      </c>
      <c r="EY144" s="442">
        <v>1211</v>
      </c>
      <c r="EZ144" s="442">
        <v>1193</v>
      </c>
      <c r="FA144" s="442">
        <v>967</v>
      </c>
      <c r="FB144" s="442">
        <v>945</v>
      </c>
      <c r="FC144" s="442">
        <v>927</v>
      </c>
      <c r="FD144" s="442">
        <v>1049</v>
      </c>
      <c r="FE144" s="442">
        <v>937</v>
      </c>
      <c r="FF144" s="442">
        <v>980</v>
      </c>
      <c r="FG144" s="442">
        <v>944</v>
      </c>
      <c r="FH144" s="442">
        <v>1238</v>
      </c>
      <c r="FI144" s="442">
        <v>1164</v>
      </c>
      <c r="FJ144" s="442">
        <v>1037</v>
      </c>
      <c r="FK144" s="442">
        <v>1092</v>
      </c>
      <c r="FL144" s="442">
        <v>964</v>
      </c>
      <c r="FM144" s="442">
        <v>865</v>
      </c>
      <c r="FN144" s="442">
        <v>867</v>
      </c>
      <c r="FO144" s="442">
        <v>882</v>
      </c>
      <c r="FP144" s="442">
        <v>918</v>
      </c>
      <c r="FQ144" s="442">
        <v>876</v>
      </c>
      <c r="FR144" s="442">
        <v>825</v>
      </c>
      <c r="FS144" s="442">
        <v>957</v>
      </c>
      <c r="FT144" s="442">
        <v>937</v>
      </c>
      <c r="FU144" s="442">
        <v>1026</v>
      </c>
      <c r="FV144" s="442">
        <v>978</v>
      </c>
      <c r="FW144" s="442">
        <v>872</v>
      </c>
      <c r="FX144" s="442">
        <v>945</v>
      </c>
      <c r="FY144" s="442">
        <v>827</v>
      </c>
      <c r="FZ144" s="442">
        <v>536</v>
      </c>
      <c r="GA144" s="442">
        <v>686</v>
      </c>
      <c r="GB144" s="442">
        <v>670</v>
      </c>
      <c r="GC144" s="442">
        <v>823</v>
      </c>
      <c r="GD144" s="442">
        <v>821</v>
      </c>
      <c r="GE144" s="442">
        <v>809</v>
      </c>
      <c r="GF144" s="442">
        <v>829</v>
      </c>
      <c r="GG144" s="442">
        <v>902</v>
      </c>
      <c r="GH144" s="442">
        <v>902</v>
      </c>
      <c r="GI144" s="442">
        <v>925</v>
      </c>
      <c r="GJ144" s="442">
        <v>849</v>
      </c>
      <c r="GK144" s="431">
        <v>777</v>
      </c>
    </row>
    <row r="145" spans="1:193">
      <c r="A145" s="231" t="s">
        <v>246</v>
      </c>
      <c r="B145" s="348">
        <v>308</v>
      </c>
      <c r="C145" s="348">
        <v>320</v>
      </c>
      <c r="D145" s="348">
        <v>333</v>
      </c>
      <c r="E145" s="348">
        <v>405</v>
      </c>
      <c r="F145" s="348">
        <v>396</v>
      </c>
      <c r="G145" s="348">
        <v>449</v>
      </c>
      <c r="H145" s="348">
        <v>481</v>
      </c>
      <c r="I145" s="348">
        <v>560</v>
      </c>
      <c r="J145" s="348">
        <v>752</v>
      </c>
      <c r="K145" s="348">
        <v>812</v>
      </c>
      <c r="L145" s="348">
        <v>725</v>
      </c>
      <c r="M145" s="348">
        <v>498</v>
      </c>
      <c r="N145" s="348">
        <v>572</v>
      </c>
      <c r="O145" s="348">
        <v>561</v>
      </c>
      <c r="P145" s="348">
        <v>459</v>
      </c>
      <c r="Q145" s="348">
        <v>471</v>
      </c>
      <c r="R145" s="348">
        <v>582</v>
      </c>
      <c r="S145" s="348">
        <v>544</v>
      </c>
      <c r="T145" s="348">
        <v>520</v>
      </c>
      <c r="U145" s="348">
        <v>521</v>
      </c>
      <c r="V145" s="348">
        <v>499</v>
      </c>
      <c r="W145" s="348">
        <v>501</v>
      </c>
      <c r="X145" s="348">
        <v>474</v>
      </c>
      <c r="Y145" s="348">
        <v>394</v>
      </c>
      <c r="Z145" s="348">
        <v>446</v>
      </c>
      <c r="AA145" s="348">
        <v>409</v>
      </c>
      <c r="AB145" s="348">
        <v>402</v>
      </c>
      <c r="AC145" s="348">
        <v>395</v>
      </c>
      <c r="AD145" s="348">
        <v>435</v>
      </c>
      <c r="AE145" s="348">
        <v>481</v>
      </c>
      <c r="AF145" s="348">
        <v>488</v>
      </c>
      <c r="AG145" s="348">
        <v>477</v>
      </c>
      <c r="AH145" s="348">
        <v>460</v>
      </c>
      <c r="AI145" s="348">
        <v>455</v>
      </c>
      <c r="AJ145" s="348">
        <v>476</v>
      </c>
      <c r="AK145" s="348">
        <v>482</v>
      </c>
      <c r="AL145" s="348">
        <v>463</v>
      </c>
      <c r="AM145" s="348">
        <v>492</v>
      </c>
      <c r="AN145" s="348">
        <v>498</v>
      </c>
      <c r="AO145" s="348">
        <v>484</v>
      </c>
      <c r="AP145" s="348">
        <v>489</v>
      </c>
      <c r="AQ145" s="348">
        <v>485</v>
      </c>
      <c r="AR145" s="348">
        <v>481</v>
      </c>
      <c r="AS145" s="348">
        <v>466</v>
      </c>
      <c r="AT145" s="348">
        <v>470</v>
      </c>
      <c r="AU145" s="348">
        <v>476</v>
      </c>
      <c r="AV145" s="348">
        <v>502</v>
      </c>
      <c r="AW145" s="348">
        <v>491</v>
      </c>
      <c r="AX145" s="348">
        <v>541</v>
      </c>
      <c r="AY145" s="348">
        <v>546</v>
      </c>
      <c r="AZ145" s="348">
        <v>585</v>
      </c>
      <c r="BA145" s="348">
        <v>570</v>
      </c>
      <c r="BB145" s="348">
        <v>575</v>
      </c>
      <c r="BC145" s="348">
        <v>599</v>
      </c>
      <c r="BD145" s="348">
        <v>585</v>
      </c>
      <c r="BE145" s="348">
        <v>600</v>
      </c>
      <c r="BF145" s="348">
        <v>515</v>
      </c>
      <c r="BG145" s="348">
        <v>612</v>
      </c>
      <c r="BH145" s="348">
        <v>594</v>
      </c>
      <c r="BI145" s="348">
        <v>542</v>
      </c>
      <c r="BJ145" s="348">
        <v>570</v>
      </c>
      <c r="BK145" s="348">
        <v>518</v>
      </c>
      <c r="BL145" s="348">
        <v>506</v>
      </c>
      <c r="BM145" s="348">
        <v>469</v>
      </c>
      <c r="BN145" s="348">
        <v>487</v>
      </c>
      <c r="BO145" s="348">
        <v>480</v>
      </c>
      <c r="BP145" s="348">
        <v>472</v>
      </c>
      <c r="BQ145" s="348">
        <v>432</v>
      </c>
      <c r="BR145" s="348">
        <v>455</v>
      </c>
      <c r="BS145" s="348">
        <v>404</v>
      </c>
      <c r="BT145" s="348">
        <v>401</v>
      </c>
      <c r="BU145" s="348">
        <v>386</v>
      </c>
      <c r="BV145" s="348">
        <v>385</v>
      </c>
      <c r="BW145" s="348">
        <v>493</v>
      </c>
      <c r="BX145" s="348">
        <v>378</v>
      </c>
      <c r="BY145" s="348">
        <v>381</v>
      </c>
      <c r="BZ145" s="348">
        <v>386</v>
      </c>
      <c r="CA145" s="348">
        <v>395</v>
      </c>
      <c r="CB145" s="348">
        <v>487</v>
      </c>
      <c r="CC145" s="348">
        <v>414</v>
      </c>
      <c r="CD145" s="348">
        <v>424</v>
      </c>
      <c r="CE145" s="348">
        <v>427</v>
      </c>
      <c r="CF145" s="441">
        <v>547</v>
      </c>
      <c r="CG145" s="441">
        <v>453</v>
      </c>
      <c r="CH145" s="441">
        <v>465</v>
      </c>
      <c r="CI145" s="441">
        <v>470</v>
      </c>
      <c r="CJ145" s="441">
        <v>461</v>
      </c>
      <c r="CK145" s="441">
        <v>460</v>
      </c>
      <c r="CL145" s="441">
        <v>481</v>
      </c>
      <c r="CM145" s="441">
        <v>477</v>
      </c>
      <c r="CN145" s="441">
        <v>464</v>
      </c>
      <c r="CO145" s="441">
        <v>479</v>
      </c>
      <c r="CP145" s="441">
        <v>480</v>
      </c>
      <c r="CQ145" s="441">
        <v>486</v>
      </c>
      <c r="CR145" s="441">
        <v>498</v>
      </c>
      <c r="CS145" s="441">
        <v>353</v>
      </c>
      <c r="CT145" s="441">
        <v>289</v>
      </c>
      <c r="CU145" s="441">
        <v>268</v>
      </c>
      <c r="CV145" s="441">
        <v>278</v>
      </c>
      <c r="CW145" s="441">
        <v>273</v>
      </c>
      <c r="CX145" s="441">
        <v>265</v>
      </c>
      <c r="CY145" s="441">
        <v>263</v>
      </c>
      <c r="CZ145" s="441">
        <v>236</v>
      </c>
      <c r="DA145" s="441">
        <v>238</v>
      </c>
      <c r="DB145" s="441">
        <v>234</v>
      </c>
      <c r="DC145" s="441">
        <v>240</v>
      </c>
      <c r="DD145" s="441">
        <v>279</v>
      </c>
      <c r="DE145" s="441">
        <v>320</v>
      </c>
      <c r="DF145" s="441">
        <v>346</v>
      </c>
      <c r="DG145" s="441">
        <v>373</v>
      </c>
      <c r="DH145" s="441">
        <v>400</v>
      </c>
      <c r="DI145" s="441">
        <v>431</v>
      </c>
      <c r="DJ145" s="441">
        <v>448</v>
      </c>
      <c r="DK145" s="441">
        <v>525</v>
      </c>
      <c r="DL145" s="441">
        <v>521</v>
      </c>
      <c r="DM145" s="441">
        <v>553</v>
      </c>
      <c r="DN145" s="441">
        <v>503</v>
      </c>
      <c r="DO145" s="441">
        <v>508</v>
      </c>
      <c r="DP145" s="441">
        <v>472</v>
      </c>
      <c r="DQ145" s="441">
        <v>476</v>
      </c>
      <c r="DR145" s="441">
        <v>461</v>
      </c>
      <c r="DS145" s="441">
        <v>494</v>
      </c>
      <c r="DT145" s="441">
        <v>580</v>
      </c>
      <c r="DU145" s="441">
        <v>606</v>
      </c>
      <c r="DV145" s="441">
        <v>709</v>
      </c>
      <c r="DW145" s="441">
        <v>768</v>
      </c>
      <c r="DX145" s="441">
        <v>609</v>
      </c>
      <c r="DY145" s="441">
        <v>587</v>
      </c>
      <c r="DZ145" s="441">
        <v>592</v>
      </c>
      <c r="EA145" s="441">
        <v>617</v>
      </c>
      <c r="EB145" s="441">
        <v>625</v>
      </c>
      <c r="EC145" s="441">
        <v>647</v>
      </c>
      <c r="ED145" s="441">
        <v>687</v>
      </c>
      <c r="EE145" s="441">
        <v>705</v>
      </c>
      <c r="EF145" s="441">
        <v>680</v>
      </c>
      <c r="EG145" s="441">
        <v>709</v>
      </c>
      <c r="EH145" s="441">
        <v>707</v>
      </c>
      <c r="EI145" s="441">
        <v>633</v>
      </c>
      <c r="EJ145" s="441">
        <v>616</v>
      </c>
      <c r="EK145" s="441">
        <v>443</v>
      </c>
      <c r="EL145" s="441">
        <v>442</v>
      </c>
      <c r="EM145" s="441">
        <v>418</v>
      </c>
      <c r="EN145" s="441">
        <v>417</v>
      </c>
      <c r="EO145" s="441">
        <v>422</v>
      </c>
      <c r="EP145" s="441">
        <v>418</v>
      </c>
      <c r="EQ145" s="441">
        <v>434</v>
      </c>
      <c r="ER145" s="441">
        <v>422</v>
      </c>
      <c r="ES145" s="441">
        <v>431</v>
      </c>
      <c r="ET145" s="441">
        <v>385</v>
      </c>
      <c r="EU145" s="441">
        <v>374</v>
      </c>
      <c r="EV145" s="441">
        <v>355</v>
      </c>
      <c r="EW145" s="441">
        <v>370</v>
      </c>
      <c r="EX145" s="441">
        <v>374</v>
      </c>
      <c r="EY145" s="441">
        <v>365</v>
      </c>
      <c r="EZ145" s="441">
        <v>372</v>
      </c>
      <c r="FA145" s="441">
        <v>373</v>
      </c>
      <c r="FB145" s="441">
        <v>371</v>
      </c>
      <c r="FC145" s="441">
        <v>375</v>
      </c>
      <c r="FD145" s="441">
        <v>360</v>
      </c>
      <c r="FE145" s="441">
        <v>411</v>
      </c>
      <c r="FF145" s="441">
        <v>496</v>
      </c>
      <c r="FG145" s="441">
        <v>445</v>
      </c>
      <c r="FH145" s="441">
        <v>493</v>
      </c>
      <c r="FI145" s="441">
        <v>472</v>
      </c>
      <c r="FJ145" s="441">
        <v>472</v>
      </c>
      <c r="FK145" s="441">
        <v>541</v>
      </c>
      <c r="FL145" s="441">
        <v>536</v>
      </c>
      <c r="FM145" s="441">
        <v>487</v>
      </c>
      <c r="FN145" s="441">
        <v>595</v>
      </c>
      <c r="FO145" s="441">
        <v>687</v>
      </c>
      <c r="FP145" s="441">
        <v>679</v>
      </c>
      <c r="FQ145" s="441">
        <v>613</v>
      </c>
      <c r="FR145" s="441">
        <v>562</v>
      </c>
      <c r="FS145" s="441">
        <v>633</v>
      </c>
      <c r="FT145" s="441">
        <v>706</v>
      </c>
      <c r="FU145" s="441">
        <v>716</v>
      </c>
      <c r="FV145" s="441">
        <v>682</v>
      </c>
      <c r="FW145" s="441">
        <v>701</v>
      </c>
      <c r="FX145" s="441">
        <v>791</v>
      </c>
      <c r="FY145" s="441">
        <v>649</v>
      </c>
      <c r="FZ145" s="441">
        <v>672</v>
      </c>
      <c r="GA145" s="441">
        <v>782</v>
      </c>
      <c r="GB145" s="441">
        <v>875</v>
      </c>
      <c r="GC145" s="441">
        <v>836</v>
      </c>
      <c r="GD145" s="441">
        <v>944</v>
      </c>
      <c r="GE145" s="441">
        <v>923</v>
      </c>
      <c r="GF145" s="441">
        <v>960</v>
      </c>
      <c r="GG145" s="441">
        <v>1018</v>
      </c>
      <c r="GH145" s="441">
        <v>942</v>
      </c>
      <c r="GI145" s="441">
        <v>929</v>
      </c>
      <c r="GJ145" s="441">
        <v>878</v>
      </c>
      <c r="GK145" s="430">
        <v>900</v>
      </c>
    </row>
    <row r="146" spans="1:193" ht="15.75" thickBot="1">
      <c r="A146" s="232" t="s">
        <v>103</v>
      </c>
      <c r="B146" s="161">
        <v>1404</v>
      </c>
      <c r="C146" s="435">
        <v>1419</v>
      </c>
      <c r="D146" s="435">
        <v>1507</v>
      </c>
      <c r="E146" s="435">
        <v>1481</v>
      </c>
      <c r="F146" s="435">
        <v>1618</v>
      </c>
      <c r="G146" s="435">
        <v>1619</v>
      </c>
      <c r="H146" s="435">
        <v>1567</v>
      </c>
      <c r="I146" s="435">
        <v>1577</v>
      </c>
      <c r="J146" s="435">
        <v>1503</v>
      </c>
      <c r="K146" s="435">
        <v>1478</v>
      </c>
      <c r="L146" s="435">
        <v>1426</v>
      </c>
      <c r="M146" s="435">
        <v>1534</v>
      </c>
      <c r="N146" s="435">
        <v>1456</v>
      </c>
      <c r="O146" s="435">
        <v>1456</v>
      </c>
      <c r="P146" s="435">
        <v>1349</v>
      </c>
      <c r="Q146" s="435">
        <v>1377</v>
      </c>
      <c r="R146" s="435">
        <v>1235</v>
      </c>
      <c r="S146" s="435">
        <v>1502</v>
      </c>
      <c r="T146" s="435">
        <v>1660</v>
      </c>
      <c r="U146" s="435">
        <v>1697</v>
      </c>
      <c r="V146" s="435">
        <v>1635</v>
      </c>
      <c r="W146" s="435">
        <v>1836</v>
      </c>
      <c r="X146" s="435">
        <v>1821</v>
      </c>
      <c r="Y146" s="435">
        <v>1642</v>
      </c>
      <c r="Z146" s="435">
        <v>1515</v>
      </c>
      <c r="AA146" s="435">
        <v>1438</v>
      </c>
      <c r="AB146" s="435">
        <v>1404</v>
      </c>
      <c r="AC146" s="435">
        <v>1601</v>
      </c>
      <c r="AD146" s="435">
        <v>1679</v>
      </c>
      <c r="AE146" s="435">
        <v>1572</v>
      </c>
      <c r="AF146" s="435">
        <v>1530</v>
      </c>
      <c r="AG146" s="435">
        <v>1530</v>
      </c>
      <c r="AH146" s="435">
        <v>1637</v>
      </c>
      <c r="AI146" s="435">
        <v>1577</v>
      </c>
      <c r="AJ146" s="435">
        <v>1678</v>
      </c>
      <c r="AK146" s="435">
        <v>1565</v>
      </c>
      <c r="AL146" s="435">
        <v>1514</v>
      </c>
      <c r="AM146" s="435">
        <v>1589</v>
      </c>
      <c r="AN146" s="435">
        <v>1646</v>
      </c>
      <c r="AO146" s="435">
        <v>1705</v>
      </c>
      <c r="AP146" s="435">
        <v>1659</v>
      </c>
      <c r="AQ146" s="435">
        <v>1741</v>
      </c>
      <c r="AR146" s="435">
        <v>1662</v>
      </c>
      <c r="AS146" s="435">
        <v>1816</v>
      </c>
      <c r="AT146" s="435">
        <v>1889</v>
      </c>
      <c r="AU146" s="435">
        <v>2111</v>
      </c>
      <c r="AV146" s="435">
        <v>1923</v>
      </c>
      <c r="AW146" s="435">
        <v>1855</v>
      </c>
      <c r="AX146" s="435">
        <v>1666</v>
      </c>
      <c r="AY146" s="435">
        <v>1737</v>
      </c>
      <c r="AZ146" s="435">
        <v>1766</v>
      </c>
      <c r="BA146" s="435">
        <v>1770</v>
      </c>
      <c r="BB146" s="435">
        <v>1989</v>
      </c>
      <c r="BC146" s="435">
        <v>1779</v>
      </c>
      <c r="BD146" s="435">
        <v>1847</v>
      </c>
      <c r="BE146" s="435">
        <v>1798</v>
      </c>
      <c r="BF146" s="435">
        <v>1965</v>
      </c>
      <c r="BG146" s="435">
        <v>2130</v>
      </c>
      <c r="BH146" s="435">
        <v>2003</v>
      </c>
      <c r="BI146" s="435">
        <v>1751</v>
      </c>
      <c r="BJ146" s="435">
        <v>1643</v>
      </c>
      <c r="BK146" s="435">
        <v>1697</v>
      </c>
      <c r="BL146" s="435">
        <v>1685</v>
      </c>
      <c r="BM146" s="435">
        <v>1725</v>
      </c>
      <c r="BN146" s="435">
        <v>1779</v>
      </c>
      <c r="BO146" s="435">
        <v>1715</v>
      </c>
      <c r="BP146" s="435">
        <v>1645</v>
      </c>
      <c r="BQ146" s="435">
        <v>1628</v>
      </c>
      <c r="BR146" s="435">
        <v>1646</v>
      </c>
      <c r="BS146" s="435">
        <v>1684</v>
      </c>
      <c r="BT146" s="435">
        <v>1983</v>
      </c>
      <c r="BU146" s="435">
        <v>1590</v>
      </c>
      <c r="BV146" s="435">
        <v>1578</v>
      </c>
      <c r="BW146" s="435">
        <v>1624</v>
      </c>
      <c r="BX146" s="435">
        <v>1734</v>
      </c>
      <c r="BY146" s="435">
        <v>1688</v>
      </c>
      <c r="BZ146" s="435">
        <v>1798</v>
      </c>
      <c r="CA146" s="435">
        <v>1776</v>
      </c>
      <c r="CB146" s="435">
        <v>1783</v>
      </c>
      <c r="CC146" s="435">
        <v>1856</v>
      </c>
      <c r="CD146" s="435">
        <v>2019</v>
      </c>
      <c r="CE146" s="435">
        <v>1766</v>
      </c>
      <c r="CF146" s="435">
        <v>1910</v>
      </c>
      <c r="CG146" s="435">
        <v>1793</v>
      </c>
      <c r="CH146" s="435">
        <v>2048</v>
      </c>
      <c r="CI146" s="435">
        <v>2041</v>
      </c>
      <c r="CJ146" s="435">
        <v>2050</v>
      </c>
      <c r="CK146" s="435">
        <v>2134</v>
      </c>
      <c r="CL146" s="435">
        <v>2211</v>
      </c>
      <c r="CM146" s="435">
        <v>2106</v>
      </c>
      <c r="CN146" s="435">
        <v>2222</v>
      </c>
      <c r="CO146" s="435">
        <v>2367</v>
      </c>
      <c r="CP146" s="435">
        <v>2367</v>
      </c>
      <c r="CQ146" s="435">
        <v>2451</v>
      </c>
      <c r="CR146" s="435">
        <v>2429</v>
      </c>
      <c r="CS146" s="435">
        <v>2721</v>
      </c>
      <c r="CT146" s="435">
        <v>2922</v>
      </c>
      <c r="CU146" s="435">
        <v>2493</v>
      </c>
      <c r="CV146" s="435">
        <v>2270</v>
      </c>
      <c r="CW146" s="435">
        <v>2228</v>
      </c>
      <c r="CX146" s="435">
        <v>2498</v>
      </c>
      <c r="CY146" s="435">
        <v>2274</v>
      </c>
      <c r="CZ146" s="435">
        <v>2248</v>
      </c>
      <c r="DA146" s="435">
        <v>2318</v>
      </c>
      <c r="DB146" s="435">
        <v>2246</v>
      </c>
      <c r="DC146" s="435">
        <v>2344</v>
      </c>
      <c r="DD146" s="435">
        <v>2363</v>
      </c>
      <c r="DE146" s="435">
        <v>2275</v>
      </c>
      <c r="DF146" s="435">
        <v>2241</v>
      </c>
      <c r="DG146" s="435">
        <v>2309</v>
      </c>
      <c r="DH146" s="435">
        <v>2468</v>
      </c>
      <c r="DI146" s="435">
        <v>2531</v>
      </c>
      <c r="DJ146" s="435">
        <v>2726</v>
      </c>
      <c r="DK146" s="435">
        <v>2674</v>
      </c>
      <c r="DL146" s="435">
        <v>2938</v>
      </c>
      <c r="DM146" s="435">
        <v>2989</v>
      </c>
      <c r="DN146" s="435">
        <v>3216</v>
      </c>
      <c r="DO146" s="435">
        <v>3396</v>
      </c>
      <c r="DP146" s="435">
        <v>3512</v>
      </c>
      <c r="DQ146" s="435">
        <v>3368</v>
      </c>
      <c r="DR146" s="435">
        <v>3320</v>
      </c>
      <c r="DS146" s="435">
        <v>3486</v>
      </c>
      <c r="DT146" s="435">
        <v>3841</v>
      </c>
      <c r="DU146" s="435">
        <v>3668</v>
      </c>
      <c r="DV146" s="435">
        <v>3885</v>
      </c>
      <c r="DW146" s="435">
        <v>3847</v>
      </c>
      <c r="DX146" s="435">
        <v>3859</v>
      </c>
      <c r="DY146" s="435">
        <v>4201</v>
      </c>
      <c r="DZ146" s="435">
        <v>3936</v>
      </c>
      <c r="EA146" s="435">
        <v>4138</v>
      </c>
      <c r="EB146" s="435">
        <v>4191</v>
      </c>
      <c r="EC146" s="435">
        <v>3700</v>
      </c>
      <c r="ED146" s="435">
        <v>3714</v>
      </c>
      <c r="EE146" s="435">
        <v>3940</v>
      </c>
      <c r="EF146" s="435">
        <v>3899</v>
      </c>
      <c r="EG146" s="435">
        <v>3648</v>
      </c>
      <c r="EH146" s="435">
        <v>3824</v>
      </c>
      <c r="EI146" s="435">
        <v>3578</v>
      </c>
      <c r="EJ146" s="435">
        <v>3529</v>
      </c>
      <c r="EK146" s="435">
        <v>3544</v>
      </c>
      <c r="EL146" s="435">
        <v>3346</v>
      </c>
      <c r="EM146" s="435">
        <v>3433</v>
      </c>
      <c r="EN146" s="435">
        <v>3342</v>
      </c>
      <c r="EO146" s="435">
        <v>3026</v>
      </c>
      <c r="EP146" s="435">
        <v>3034</v>
      </c>
      <c r="EQ146" s="435">
        <v>4309</v>
      </c>
      <c r="ER146" s="435">
        <v>5081</v>
      </c>
      <c r="ES146" s="435">
        <v>3127</v>
      </c>
      <c r="ET146" s="435">
        <v>3501</v>
      </c>
      <c r="EU146" s="435">
        <v>3226</v>
      </c>
      <c r="EV146" s="435">
        <v>3434</v>
      </c>
      <c r="EW146" s="435">
        <v>3517</v>
      </c>
      <c r="EX146" s="435">
        <v>3530</v>
      </c>
      <c r="EY146" s="435">
        <v>3763</v>
      </c>
      <c r="EZ146" s="435">
        <v>3585</v>
      </c>
      <c r="FA146" s="435">
        <v>3354</v>
      </c>
      <c r="FB146" s="435">
        <v>3424</v>
      </c>
      <c r="FC146" s="435">
        <v>3423</v>
      </c>
      <c r="FD146" s="435">
        <v>3527</v>
      </c>
      <c r="FE146" s="435">
        <v>3410</v>
      </c>
      <c r="FF146" s="435">
        <v>3512</v>
      </c>
      <c r="FG146" s="435">
        <v>3455</v>
      </c>
      <c r="FH146" s="435">
        <v>3696</v>
      </c>
      <c r="FI146" s="435">
        <v>3402</v>
      </c>
      <c r="FJ146" s="435">
        <v>3816</v>
      </c>
      <c r="FK146" s="435">
        <v>3389</v>
      </c>
      <c r="FL146" s="435">
        <v>3378</v>
      </c>
      <c r="FM146" s="435">
        <v>3179</v>
      </c>
      <c r="FN146" s="435">
        <v>2974</v>
      </c>
      <c r="FO146" s="435">
        <v>2994</v>
      </c>
      <c r="FP146" s="435">
        <v>3158</v>
      </c>
      <c r="FQ146" s="435">
        <v>2936</v>
      </c>
      <c r="FR146" s="435">
        <v>2979</v>
      </c>
      <c r="FS146" s="435">
        <v>2909</v>
      </c>
      <c r="FT146" s="435">
        <v>2926</v>
      </c>
      <c r="FU146" s="435">
        <v>3065</v>
      </c>
      <c r="FV146" s="435">
        <v>3117</v>
      </c>
      <c r="FW146" s="435">
        <v>3064</v>
      </c>
      <c r="FX146" s="435">
        <v>3132</v>
      </c>
      <c r="FY146" s="435">
        <v>2922</v>
      </c>
      <c r="FZ146" s="435">
        <v>2758</v>
      </c>
      <c r="GA146" s="435">
        <v>2682</v>
      </c>
      <c r="GB146" s="435">
        <v>2775</v>
      </c>
      <c r="GC146" s="435">
        <v>2456</v>
      </c>
      <c r="GD146" s="435">
        <v>2470</v>
      </c>
      <c r="GE146" s="435">
        <v>2420</v>
      </c>
      <c r="GF146" s="435">
        <v>2390</v>
      </c>
      <c r="GG146" s="435">
        <v>2577</v>
      </c>
      <c r="GH146" s="435">
        <v>2611</v>
      </c>
      <c r="GI146" s="435">
        <v>2655</v>
      </c>
      <c r="GJ146" s="435">
        <v>2664</v>
      </c>
      <c r="GK146" s="432">
        <v>2652</v>
      </c>
    </row>
    <row r="147" spans="1:193" ht="16.5" thickTop="1" thickBot="1">
      <c r="A147" s="162" t="s">
        <v>183</v>
      </c>
      <c r="B147" s="436">
        <v>39421</v>
      </c>
      <c r="C147" s="436">
        <v>39287</v>
      </c>
      <c r="D147" s="436">
        <v>42555</v>
      </c>
      <c r="E147" s="436">
        <v>40464</v>
      </c>
      <c r="F147" s="436">
        <v>41111</v>
      </c>
      <c r="G147" s="436">
        <v>41350</v>
      </c>
      <c r="H147" s="436">
        <v>41772</v>
      </c>
      <c r="I147" s="436">
        <v>41667</v>
      </c>
      <c r="J147" s="436">
        <v>40381</v>
      </c>
      <c r="K147" s="436">
        <v>41952</v>
      </c>
      <c r="L147" s="436">
        <v>41719</v>
      </c>
      <c r="M147" s="436">
        <v>41725</v>
      </c>
      <c r="N147" s="436">
        <v>40618</v>
      </c>
      <c r="O147" s="436">
        <v>41004</v>
      </c>
      <c r="P147" s="436">
        <v>39594</v>
      </c>
      <c r="Q147" s="436">
        <v>41403</v>
      </c>
      <c r="R147" s="436">
        <v>39645</v>
      </c>
      <c r="S147" s="436">
        <v>40152</v>
      </c>
      <c r="T147" s="436">
        <v>42993</v>
      </c>
      <c r="U147" s="436">
        <v>40583</v>
      </c>
      <c r="V147" s="436">
        <v>41710</v>
      </c>
      <c r="W147" s="436">
        <v>42750</v>
      </c>
      <c r="X147" s="436">
        <v>43438</v>
      </c>
      <c r="Y147" s="436">
        <v>42762</v>
      </c>
      <c r="Z147" s="436">
        <v>41835</v>
      </c>
      <c r="AA147" s="436">
        <v>42295</v>
      </c>
      <c r="AB147" s="436">
        <v>44662</v>
      </c>
      <c r="AC147" s="436">
        <v>43807</v>
      </c>
      <c r="AD147" s="436">
        <v>43900</v>
      </c>
      <c r="AE147" s="436">
        <v>44565</v>
      </c>
      <c r="AF147" s="436">
        <v>45205</v>
      </c>
      <c r="AG147" s="436">
        <v>44693</v>
      </c>
      <c r="AH147" s="436">
        <v>45218</v>
      </c>
      <c r="AI147" s="436">
        <v>45275</v>
      </c>
      <c r="AJ147" s="436">
        <v>45401</v>
      </c>
      <c r="AK147" s="436">
        <v>43876</v>
      </c>
      <c r="AL147" s="436">
        <v>44177</v>
      </c>
      <c r="AM147" s="436">
        <v>45790</v>
      </c>
      <c r="AN147" s="436">
        <v>47893</v>
      </c>
      <c r="AO147" s="436">
        <v>46842</v>
      </c>
      <c r="AP147" s="436">
        <v>47638</v>
      </c>
      <c r="AQ147" s="436">
        <v>47803</v>
      </c>
      <c r="AR147" s="436">
        <v>48040</v>
      </c>
      <c r="AS147" s="436">
        <v>49216</v>
      </c>
      <c r="AT147" s="436">
        <v>49257</v>
      </c>
      <c r="AU147" s="436">
        <v>48933</v>
      </c>
      <c r="AV147" s="436">
        <v>50278</v>
      </c>
      <c r="AW147" s="436">
        <v>49973</v>
      </c>
      <c r="AX147" s="436">
        <v>49605</v>
      </c>
      <c r="AY147" s="436">
        <v>51703</v>
      </c>
      <c r="AZ147" s="436">
        <v>53076</v>
      </c>
      <c r="BA147" s="436">
        <v>53366</v>
      </c>
      <c r="BB147" s="436">
        <v>54938</v>
      </c>
      <c r="BC147" s="436">
        <v>54304</v>
      </c>
      <c r="BD147" s="436">
        <v>56105</v>
      </c>
      <c r="BE147" s="436">
        <v>56831</v>
      </c>
      <c r="BF147" s="436">
        <v>55474</v>
      </c>
      <c r="BG147" s="436">
        <v>55769</v>
      </c>
      <c r="BH147" s="436">
        <v>57005</v>
      </c>
      <c r="BI147" s="436">
        <v>54537</v>
      </c>
      <c r="BJ147" s="436">
        <v>53235</v>
      </c>
      <c r="BK147" s="436">
        <v>56535</v>
      </c>
      <c r="BL147" s="436">
        <v>57525</v>
      </c>
      <c r="BM147" s="436">
        <v>55705</v>
      </c>
      <c r="BN147" s="436">
        <v>60091</v>
      </c>
      <c r="BO147" s="436">
        <v>57729</v>
      </c>
      <c r="BP147" s="436">
        <v>57910</v>
      </c>
      <c r="BQ147" s="436">
        <v>60163</v>
      </c>
      <c r="BR147" s="436">
        <v>58745</v>
      </c>
      <c r="BS147" s="436">
        <v>60781</v>
      </c>
      <c r="BT147" s="436">
        <v>61914</v>
      </c>
      <c r="BU147" s="436">
        <v>58160</v>
      </c>
      <c r="BV147" s="436">
        <v>58993</v>
      </c>
      <c r="BW147" s="436">
        <v>62769</v>
      </c>
      <c r="BX147" s="436">
        <v>63632</v>
      </c>
      <c r="BY147" s="436">
        <v>61745</v>
      </c>
      <c r="BZ147" s="436">
        <v>63943</v>
      </c>
      <c r="CA147" s="436">
        <v>62634</v>
      </c>
      <c r="CB147" s="436">
        <v>64528</v>
      </c>
      <c r="CC147" s="436">
        <v>68264</v>
      </c>
      <c r="CD147" s="436">
        <v>65528</v>
      </c>
      <c r="CE147" s="436">
        <v>65076</v>
      </c>
      <c r="CF147" s="436">
        <v>67170</v>
      </c>
      <c r="CG147" s="436">
        <v>62462</v>
      </c>
      <c r="CH147" s="436">
        <v>64595</v>
      </c>
      <c r="CI147" s="436">
        <v>65750</v>
      </c>
      <c r="CJ147" s="436">
        <v>64637</v>
      </c>
      <c r="CK147" s="436">
        <v>67094</v>
      </c>
      <c r="CL147" s="436">
        <v>67134</v>
      </c>
      <c r="CM147" s="436">
        <v>70789</v>
      </c>
      <c r="CN147" s="436">
        <v>72185</v>
      </c>
      <c r="CO147" s="436">
        <v>71948</v>
      </c>
      <c r="CP147" s="436">
        <v>74354</v>
      </c>
      <c r="CQ147" s="436">
        <v>77264</v>
      </c>
      <c r="CR147" s="436">
        <v>73796</v>
      </c>
      <c r="CS147" s="436">
        <v>70431</v>
      </c>
      <c r="CT147" s="436">
        <v>68248</v>
      </c>
      <c r="CU147" s="436">
        <v>68420</v>
      </c>
      <c r="CV147" s="436">
        <v>68558</v>
      </c>
      <c r="CW147" s="436">
        <v>67180</v>
      </c>
      <c r="CX147" s="436">
        <v>67472</v>
      </c>
      <c r="CY147" s="436">
        <v>66922</v>
      </c>
      <c r="CZ147" s="436">
        <v>67201</v>
      </c>
      <c r="DA147" s="436">
        <v>66657</v>
      </c>
      <c r="DB147" s="436">
        <v>66991</v>
      </c>
      <c r="DC147" s="436">
        <v>68502</v>
      </c>
      <c r="DD147" s="436">
        <v>66932</v>
      </c>
      <c r="DE147" s="436">
        <v>66684</v>
      </c>
      <c r="DF147" s="436">
        <v>64091</v>
      </c>
      <c r="DG147" s="436">
        <v>68925</v>
      </c>
      <c r="DH147" s="436">
        <v>71631</v>
      </c>
      <c r="DI147" s="436">
        <v>70392</v>
      </c>
      <c r="DJ147" s="436">
        <v>73161</v>
      </c>
      <c r="DK147" s="436">
        <v>74180</v>
      </c>
      <c r="DL147" s="436">
        <v>77287</v>
      </c>
      <c r="DM147" s="436">
        <v>78284</v>
      </c>
      <c r="DN147" s="436">
        <v>78663</v>
      </c>
      <c r="DO147" s="436">
        <v>81244</v>
      </c>
      <c r="DP147" s="436">
        <v>83253</v>
      </c>
      <c r="DQ147" s="436">
        <v>76493</v>
      </c>
      <c r="DR147" s="436">
        <v>78522</v>
      </c>
      <c r="DS147" s="436">
        <v>81360</v>
      </c>
      <c r="DT147" s="436">
        <v>85625</v>
      </c>
      <c r="DU147" s="436">
        <v>83294</v>
      </c>
      <c r="DV147" s="436">
        <v>90010</v>
      </c>
      <c r="DW147" s="436">
        <v>89366</v>
      </c>
      <c r="DX147" s="436">
        <v>88434</v>
      </c>
      <c r="DY147" s="436">
        <v>93509</v>
      </c>
      <c r="DZ147" s="436">
        <v>93117</v>
      </c>
      <c r="EA147" s="436">
        <v>92758</v>
      </c>
      <c r="EB147" s="436">
        <v>96199</v>
      </c>
      <c r="EC147" s="436">
        <v>90038</v>
      </c>
      <c r="ED147" s="436">
        <v>95140</v>
      </c>
      <c r="EE147" s="436">
        <v>100352</v>
      </c>
      <c r="EF147" s="436">
        <v>103306</v>
      </c>
      <c r="EG147" s="436">
        <v>104410</v>
      </c>
      <c r="EH147" s="436">
        <v>103943</v>
      </c>
      <c r="EI147" s="436">
        <v>101967</v>
      </c>
      <c r="EJ147" s="436">
        <v>105969</v>
      </c>
      <c r="EK147" s="436">
        <v>108285</v>
      </c>
      <c r="EL147" s="436">
        <v>104603</v>
      </c>
      <c r="EM147" s="436">
        <v>104457</v>
      </c>
      <c r="EN147" s="436">
        <v>103241</v>
      </c>
      <c r="EO147" s="436">
        <v>99650</v>
      </c>
      <c r="EP147" s="436">
        <v>102161</v>
      </c>
      <c r="EQ147" s="436">
        <v>108327</v>
      </c>
      <c r="ER147" s="436">
        <v>107624</v>
      </c>
      <c r="ES147" s="436">
        <v>109578</v>
      </c>
      <c r="ET147" s="436">
        <v>110378</v>
      </c>
      <c r="EU147" s="436">
        <v>111501</v>
      </c>
      <c r="EV147" s="436">
        <v>114362</v>
      </c>
      <c r="EW147" s="436">
        <v>111598</v>
      </c>
      <c r="EX147" s="436">
        <v>108649</v>
      </c>
      <c r="EY147" s="436">
        <v>109321</v>
      </c>
      <c r="EZ147" s="436">
        <v>111551</v>
      </c>
      <c r="FA147" s="436">
        <v>102654</v>
      </c>
      <c r="FB147" s="436">
        <v>100693</v>
      </c>
      <c r="FC147" s="436">
        <v>107724</v>
      </c>
      <c r="FD147" s="436">
        <v>107269</v>
      </c>
      <c r="FE147" s="436">
        <v>107041</v>
      </c>
      <c r="FF147" s="436">
        <v>107859</v>
      </c>
      <c r="FG147" s="436">
        <v>105731</v>
      </c>
      <c r="FH147" s="436">
        <v>109956</v>
      </c>
      <c r="FI147" s="436">
        <v>107523</v>
      </c>
      <c r="FJ147" s="436">
        <v>109714</v>
      </c>
      <c r="FK147" s="436">
        <v>109723</v>
      </c>
      <c r="FL147" s="436">
        <v>110763</v>
      </c>
      <c r="FM147" s="436">
        <v>103846</v>
      </c>
      <c r="FN147" s="436">
        <v>99605</v>
      </c>
      <c r="FO147" s="436">
        <v>105717</v>
      </c>
      <c r="FP147" s="436">
        <v>105804</v>
      </c>
      <c r="FQ147" s="436">
        <v>104051</v>
      </c>
      <c r="FR147" s="436">
        <v>101473</v>
      </c>
      <c r="FS147" s="436">
        <v>97990</v>
      </c>
      <c r="FT147" s="436">
        <v>102004</v>
      </c>
      <c r="FU147" s="436">
        <v>102734</v>
      </c>
      <c r="FV147" s="436">
        <v>104021</v>
      </c>
      <c r="FW147" s="436">
        <v>106345</v>
      </c>
      <c r="FX147" s="436">
        <v>106628</v>
      </c>
      <c r="FY147" s="436">
        <v>99994</v>
      </c>
      <c r="FZ147" s="436">
        <v>97466</v>
      </c>
      <c r="GA147" s="436">
        <v>102777</v>
      </c>
      <c r="GB147" s="436">
        <v>100694</v>
      </c>
      <c r="GC147" s="436">
        <v>99790</v>
      </c>
      <c r="GD147" s="436">
        <v>104500</v>
      </c>
      <c r="GE147" s="436">
        <v>101329</v>
      </c>
      <c r="GF147" s="436">
        <v>104307</v>
      </c>
      <c r="GG147" s="436">
        <v>105346</v>
      </c>
      <c r="GH147" s="436">
        <v>100969</v>
      </c>
      <c r="GI147" s="436">
        <v>105926</v>
      </c>
      <c r="GJ147" s="436">
        <v>108705</v>
      </c>
      <c r="GK147" s="437">
        <v>100164</v>
      </c>
    </row>
    <row r="149" spans="1:193">
      <c r="A149" s="376" t="s">
        <v>350</v>
      </c>
      <c r="B149" s="443">
        <f t="shared" ref="B149:BM149" si="51">ABS(1-(B147/B59))</f>
        <v>1.8572459979585232E-2</v>
      </c>
      <c r="C149" s="443">
        <f t="shared" si="51"/>
        <v>1.5807405180620293E-2</v>
      </c>
      <c r="D149" s="443">
        <f t="shared" si="51"/>
        <v>7.1662303664921434E-2</v>
      </c>
      <c r="E149" s="443">
        <f t="shared" si="51"/>
        <v>2.9710092799079213E-2</v>
      </c>
      <c r="F149" s="443">
        <f t="shared" si="51"/>
        <v>6.9992082343626305E-2</v>
      </c>
      <c r="G149" s="443">
        <f t="shared" si="51"/>
        <v>4.1648318538948237E-2</v>
      </c>
      <c r="H149" s="443">
        <f t="shared" si="51"/>
        <v>4.2212184440419187E-2</v>
      </c>
      <c r="I149" s="443">
        <f t="shared" si="51"/>
        <v>6.816504528681655E-2</v>
      </c>
      <c r="J149" s="443">
        <f t="shared" si="51"/>
        <v>4.773022049286646E-2</v>
      </c>
      <c r="K149" s="443">
        <f t="shared" si="51"/>
        <v>4.2344830734814098E-2</v>
      </c>
      <c r="L149" s="443">
        <f t="shared" si="51"/>
        <v>5.3175071490172976E-2</v>
      </c>
      <c r="M149" s="443">
        <f t="shared" si="51"/>
        <v>1.3966348426127206E-2</v>
      </c>
      <c r="N149" s="443">
        <f t="shared" si="51"/>
        <v>4.6928527852081237E-2</v>
      </c>
      <c r="O149" s="443">
        <f t="shared" si="51"/>
        <v>4.012987671858359E-2</v>
      </c>
      <c r="P149" s="443">
        <f t="shared" si="51"/>
        <v>7.5899733930822055E-2</v>
      </c>
      <c r="Q149" s="443">
        <f t="shared" si="51"/>
        <v>1.6397000313471688E-3</v>
      </c>
      <c r="R149" s="443">
        <f t="shared" si="51"/>
        <v>5.9452919266446802E-2</v>
      </c>
      <c r="S149" s="443">
        <f t="shared" si="51"/>
        <v>5.9124160737549225E-3</v>
      </c>
      <c r="T149" s="443">
        <f t="shared" si="51"/>
        <v>7.5026547855394643E-3</v>
      </c>
      <c r="U149" s="443">
        <f t="shared" si="51"/>
        <v>2.0089339611251922E-2</v>
      </c>
      <c r="V149" s="443">
        <f t="shared" si="51"/>
        <v>2.5125628140703515E-2</v>
      </c>
      <c r="W149" s="443">
        <f t="shared" si="51"/>
        <v>1.0966129927817869E-2</v>
      </c>
      <c r="X149" s="443">
        <f t="shared" si="51"/>
        <v>1.4524495677232796E-3</v>
      </c>
      <c r="Y149" s="443">
        <f t="shared" si="51"/>
        <v>1.9550808259024333E-2</v>
      </c>
      <c r="Z149" s="443">
        <f t="shared" si="51"/>
        <v>4.7312551035112449E-3</v>
      </c>
      <c r="AA149" s="443">
        <f t="shared" si="51"/>
        <v>2.7550351060469769E-2</v>
      </c>
      <c r="AB149" s="443">
        <f t="shared" si="51"/>
        <v>7.3346372688477546E-3</v>
      </c>
      <c r="AC149" s="443">
        <f t="shared" si="51"/>
        <v>2.703146246541932E-2</v>
      </c>
      <c r="AD149" s="443">
        <f t="shared" si="51"/>
        <v>3.7555082980729182E-2</v>
      </c>
      <c r="AE149" s="443">
        <f t="shared" si="51"/>
        <v>1.8698425034859634E-2</v>
      </c>
      <c r="AF149" s="443">
        <f t="shared" si="51"/>
        <v>7.879027302256203E-3</v>
      </c>
      <c r="AG149" s="443">
        <f t="shared" si="51"/>
        <v>5.7174638487208496E-3</v>
      </c>
      <c r="AH149" s="443">
        <f t="shared" si="51"/>
        <v>1.9939549781206267E-2</v>
      </c>
      <c r="AI149" s="443">
        <f t="shared" si="51"/>
        <v>7.1054189784863775E-3</v>
      </c>
      <c r="AJ149" s="443">
        <f t="shared" si="51"/>
        <v>1.3075979024880002E-2</v>
      </c>
      <c r="AK149" s="443">
        <f t="shared" si="51"/>
        <v>2.2792022791984223E-5</v>
      </c>
      <c r="AL149" s="443">
        <f t="shared" si="51"/>
        <v>1.8978333069745723E-3</v>
      </c>
      <c r="AM149" s="443">
        <f t="shared" si="51"/>
        <v>1.7939966745428304E-3</v>
      </c>
      <c r="AN149" s="443">
        <f t="shared" si="51"/>
        <v>2.2970684836492006E-2</v>
      </c>
      <c r="AO149" s="443">
        <f t="shared" si="51"/>
        <v>7.0083412159256397E-3</v>
      </c>
      <c r="AP149" s="443">
        <f t="shared" si="51"/>
        <v>2.9914268841509384E-2</v>
      </c>
      <c r="AQ149" s="443">
        <f t="shared" si="51"/>
        <v>3.8401190859349899E-2</v>
      </c>
      <c r="AR149" s="443">
        <f t="shared" si="51"/>
        <v>3.2095581568714393E-2</v>
      </c>
      <c r="AS149" s="443">
        <f t="shared" si="51"/>
        <v>1.0574564754131321E-2</v>
      </c>
      <c r="AT149" s="443">
        <f t="shared" si="51"/>
        <v>1.8706669854171687E-2</v>
      </c>
      <c r="AU149" s="443">
        <f t="shared" si="51"/>
        <v>2.67125467419842E-2</v>
      </c>
      <c r="AV149" s="443">
        <f t="shared" si="51"/>
        <v>7.8538164022416979E-3</v>
      </c>
      <c r="AW149" s="443">
        <f t="shared" si="51"/>
        <v>2.9776623804813607E-2</v>
      </c>
      <c r="AX149" s="443">
        <f t="shared" si="51"/>
        <v>5.2000933132568372E-2</v>
      </c>
      <c r="AY149" s="443">
        <f t="shared" si="51"/>
        <v>8.7499737080116935E-2</v>
      </c>
      <c r="AZ149" s="443">
        <f t="shared" si="51"/>
        <v>3.9381180847938957E-2</v>
      </c>
      <c r="BA149" s="443">
        <f t="shared" si="51"/>
        <v>5.6773401453494188E-2</v>
      </c>
      <c r="BB149" s="443">
        <f t="shared" si="51"/>
        <v>3.0886436988666111E-2</v>
      </c>
      <c r="BC149" s="443">
        <f t="shared" si="51"/>
        <v>3.3397400521418152E-2</v>
      </c>
      <c r="BD149" s="443">
        <f t="shared" si="51"/>
        <v>2.9373990899750568E-2</v>
      </c>
      <c r="BE149" s="443">
        <f t="shared" si="51"/>
        <v>5.1141197795287141E-2</v>
      </c>
      <c r="BF149" s="443">
        <f t="shared" si="51"/>
        <v>2.1808804568060447E-2</v>
      </c>
      <c r="BG149" s="443">
        <f t="shared" si="51"/>
        <v>1.781249429671683E-2</v>
      </c>
      <c r="BH149" s="443">
        <f t="shared" si="51"/>
        <v>7.0131430186546329E-3</v>
      </c>
      <c r="BI149" s="443">
        <f t="shared" si="51"/>
        <v>2.830153103552302E-2</v>
      </c>
      <c r="BJ149" s="443">
        <f t="shared" si="51"/>
        <v>2.7048405455983637E-2</v>
      </c>
      <c r="BK149" s="443">
        <f t="shared" si="51"/>
        <v>3.9169913976913495E-2</v>
      </c>
      <c r="BL149" s="443">
        <f t="shared" si="51"/>
        <v>2.6155408836973093E-2</v>
      </c>
      <c r="BM149" s="443">
        <f t="shared" si="51"/>
        <v>1.4340772609123809E-3</v>
      </c>
      <c r="BN149" s="443">
        <f t="shared" ref="BN149:DY149" si="52">ABS(1-(BN147/BN59))</f>
        <v>3.5008270302387956E-2</v>
      </c>
      <c r="BO149" s="443">
        <f t="shared" si="52"/>
        <v>6.6719477496120061E-2</v>
      </c>
      <c r="BP149" s="443">
        <f t="shared" si="52"/>
        <v>5.9337589136331914E-2</v>
      </c>
      <c r="BQ149" s="443">
        <f t="shared" si="52"/>
        <v>3.2873585390946536E-2</v>
      </c>
      <c r="BR149" s="443">
        <f t="shared" si="52"/>
        <v>4.9710440324824523E-2</v>
      </c>
      <c r="BS149" s="443">
        <f t="shared" si="52"/>
        <v>2.5601975055307924E-2</v>
      </c>
      <c r="BT149" s="443">
        <f t="shared" si="52"/>
        <v>1.9355043081601631E-2</v>
      </c>
      <c r="BU149" s="443">
        <f t="shared" si="52"/>
        <v>2.6855182799297217E-2</v>
      </c>
      <c r="BV149" s="443">
        <f t="shared" si="52"/>
        <v>4.97571177978684E-3</v>
      </c>
      <c r="BW149" s="443">
        <f t="shared" si="52"/>
        <v>1.0024780355936125E-2</v>
      </c>
      <c r="BX149" s="443">
        <f t="shared" si="52"/>
        <v>3.3506485616209503E-2</v>
      </c>
      <c r="BY149" s="443">
        <f t="shared" si="52"/>
        <v>5.2520500716920493E-3</v>
      </c>
      <c r="BZ149" s="443">
        <f t="shared" si="52"/>
        <v>4.7829647829647826E-2</v>
      </c>
      <c r="CA149" s="443">
        <f t="shared" si="52"/>
        <v>5.2364021484227252E-2</v>
      </c>
      <c r="CB149" s="443">
        <f t="shared" si="52"/>
        <v>3.693864453830431E-2</v>
      </c>
      <c r="CC149" s="443">
        <f t="shared" si="52"/>
        <v>1.4522881478273408E-2</v>
      </c>
      <c r="CD149" s="443">
        <f t="shared" si="52"/>
        <v>1.6273344142196611E-2</v>
      </c>
      <c r="CE149" s="443">
        <f t="shared" si="52"/>
        <v>6.4429448227426578E-3</v>
      </c>
      <c r="CF149" s="443">
        <f t="shared" si="52"/>
        <v>7.5207967020789468E-3</v>
      </c>
      <c r="CG149" s="443">
        <f t="shared" si="52"/>
        <v>1.463588960543194E-2</v>
      </c>
      <c r="CH149" s="443">
        <f t="shared" si="52"/>
        <v>2.0974268192451184E-2</v>
      </c>
      <c r="CI149" s="443">
        <f t="shared" si="52"/>
        <v>5.2901963182681033E-3</v>
      </c>
      <c r="CJ149" s="443">
        <f t="shared" si="52"/>
        <v>2.9736707796691575E-2</v>
      </c>
      <c r="CK149" s="443">
        <f t="shared" si="52"/>
        <v>1.1011040521218707E-2</v>
      </c>
      <c r="CL149" s="443">
        <f t="shared" si="52"/>
        <v>5.92867652210467E-2</v>
      </c>
      <c r="CM149" s="443">
        <f t="shared" si="52"/>
        <v>6.8743949830946116E-3</v>
      </c>
      <c r="CN149" s="443">
        <f t="shared" si="52"/>
        <v>3.0592374736446271E-2</v>
      </c>
      <c r="CO149" s="443">
        <f t="shared" si="52"/>
        <v>6.7318287292101431E-2</v>
      </c>
      <c r="CP149" s="443">
        <f t="shared" si="52"/>
        <v>9.8279443882171025E-3</v>
      </c>
      <c r="CQ149" s="443">
        <f t="shared" si="52"/>
        <v>6.5446877451043051E-3</v>
      </c>
      <c r="CR149" s="443">
        <f t="shared" si="52"/>
        <v>6.7800287473218646E-4</v>
      </c>
      <c r="CS149" s="443">
        <f t="shared" si="52"/>
        <v>2.888070821281441E-2</v>
      </c>
      <c r="CT149" s="443">
        <f t="shared" si="52"/>
        <v>1.7761009290603536E-2</v>
      </c>
      <c r="CU149" s="443">
        <f t="shared" si="52"/>
        <v>2.4757739601899198E-2</v>
      </c>
      <c r="CV149" s="443">
        <f t="shared" si="52"/>
        <v>3.1844435343792776E-2</v>
      </c>
      <c r="CW149" s="443">
        <f t="shared" si="52"/>
        <v>2.0585491019360913E-2</v>
      </c>
      <c r="CX149" s="443">
        <f t="shared" si="52"/>
        <v>4.0172982815522951E-2</v>
      </c>
      <c r="CY149" s="443">
        <f t="shared" si="52"/>
        <v>1.8249567232931363E-2</v>
      </c>
      <c r="CZ149" s="443">
        <f t="shared" si="52"/>
        <v>2.3439997674891688E-2</v>
      </c>
      <c r="DA149" s="443">
        <f t="shared" si="52"/>
        <v>9.8926072813154686E-3</v>
      </c>
      <c r="DB149" s="443">
        <f t="shared" si="52"/>
        <v>1.9200048684751003E-2</v>
      </c>
      <c r="DC149" s="443">
        <f t="shared" si="52"/>
        <v>1.1965963481652242E-2</v>
      </c>
      <c r="DD149" s="443">
        <f t="shared" si="52"/>
        <v>1.5706329574942668E-2</v>
      </c>
      <c r="DE149" s="443">
        <f t="shared" si="52"/>
        <v>4.1384264609426236E-2</v>
      </c>
      <c r="DF149" s="443">
        <f t="shared" si="52"/>
        <v>3.1762130139411981E-2</v>
      </c>
      <c r="DG149" s="443">
        <f t="shared" si="52"/>
        <v>6.1397024854476623E-2</v>
      </c>
      <c r="DH149" s="443">
        <f t="shared" si="52"/>
        <v>2.0093990316149224E-2</v>
      </c>
      <c r="DI149" s="443">
        <f t="shared" si="52"/>
        <v>3.3489451043150043E-2</v>
      </c>
      <c r="DJ149" s="443">
        <f t="shared" si="52"/>
        <v>3.4340892382514365E-2</v>
      </c>
      <c r="DK149" s="443">
        <f t="shared" si="52"/>
        <v>2.9277091716386927E-2</v>
      </c>
      <c r="DL149" s="443">
        <f t="shared" si="52"/>
        <v>3.7200563644903761E-2</v>
      </c>
      <c r="DM149" s="443">
        <f t="shared" si="52"/>
        <v>2.5706873509603989E-2</v>
      </c>
      <c r="DN149" s="443">
        <f t="shared" si="52"/>
        <v>5.299582351681309E-2</v>
      </c>
      <c r="DO149" s="443">
        <f t="shared" si="52"/>
        <v>4.5867071742124788E-2</v>
      </c>
      <c r="DP149" s="443">
        <f t="shared" si="52"/>
        <v>4.7128518602369551E-2</v>
      </c>
      <c r="DQ149" s="443">
        <f t="shared" si="52"/>
        <v>3.2600772159075531E-2</v>
      </c>
      <c r="DR149" s="443">
        <f t="shared" si="52"/>
        <v>5.050369914511621E-2</v>
      </c>
      <c r="DS149" s="443">
        <f t="shared" si="52"/>
        <v>8.5291999039564637E-2</v>
      </c>
      <c r="DT149" s="443">
        <f t="shared" si="52"/>
        <v>4.1122040781586211E-2</v>
      </c>
      <c r="DU149" s="443">
        <f t="shared" si="52"/>
        <v>4.460915258913678E-2</v>
      </c>
      <c r="DV149" s="443">
        <f t="shared" si="52"/>
        <v>1.3922995471647104E-2</v>
      </c>
      <c r="DW149" s="443">
        <f t="shared" si="52"/>
        <v>3.0714046803455464E-2</v>
      </c>
      <c r="DX149" s="443">
        <f t="shared" si="52"/>
        <v>1.290760869565144E-3</v>
      </c>
      <c r="DY149" s="443">
        <f t="shared" si="52"/>
        <v>1.2495262844458788E-2</v>
      </c>
      <c r="DZ149" s="443">
        <f t="shared" ref="DZ149:GK149" si="53">ABS(1-(DZ147/DZ59))</f>
        <v>2.6388016269303316E-2</v>
      </c>
      <c r="EA149" s="443">
        <f t="shared" si="53"/>
        <v>2.7349872979838263E-3</v>
      </c>
      <c r="EB149" s="443">
        <f t="shared" si="53"/>
        <v>2.7745133650990406E-2</v>
      </c>
      <c r="EC149" s="443">
        <f t="shared" si="53"/>
        <v>3.2178927216241826E-2</v>
      </c>
      <c r="ED149" s="443">
        <f t="shared" si="53"/>
        <v>7.0383871112911223E-2</v>
      </c>
      <c r="EE149" s="443">
        <f t="shared" si="53"/>
        <v>7.2962107604140014E-2</v>
      </c>
      <c r="EF149" s="443">
        <f t="shared" si="53"/>
        <v>4.05519742143432E-2</v>
      </c>
      <c r="EG149" s="443">
        <f t="shared" si="53"/>
        <v>8.547843805880162E-2</v>
      </c>
      <c r="EH149" s="443">
        <f t="shared" si="53"/>
        <v>1.1571325690484136E-2</v>
      </c>
      <c r="EI149" s="443">
        <f t="shared" si="53"/>
        <v>3.3393465218096274E-2</v>
      </c>
      <c r="EJ149" s="443">
        <f t="shared" si="53"/>
        <v>3.6148701501877323E-2</v>
      </c>
      <c r="EK149" s="443">
        <f t="shared" si="53"/>
        <v>3.3549680251980574E-2</v>
      </c>
      <c r="EL149" s="443">
        <f t="shared" si="53"/>
        <v>4.4588467914278285E-2</v>
      </c>
      <c r="EM149" s="443">
        <f t="shared" si="53"/>
        <v>1.0114978097107707E-2</v>
      </c>
      <c r="EN149" s="443">
        <f t="shared" si="53"/>
        <v>3.6077715111494602E-2</v>
      </c>
      <c r="EO149" s="443">
        <f t="shared" si="53"/>
        <v>6.4488906455300032E-2</v>
      </c>
      <c r="EP149" s="443">
        <f t="shared" si="53"/>
        <v>3.743082000507747E-2</v>
      </c>
      <c r="EQ149" s="443">
        <f t="shared" si="53"/>
        <v>7.8352711634944727E-2</v>
      </c>
      <c r="ER149" s="443">
        <f t="shared" si="53"/>
        <v>4.6213667735977459E-2</v>
      </c>
      <c r="ES149" s="443">
        <f t="shared" si="53"/>
        <v>4.9517278369473505E-2</v>
      </c>
      <c r="ET149" s="443">
        <f t="shared" si="53"/>
        <v>5.4815466065251117E-2</v>
      </c>
      <c r="EU149" s="443">
        <f t="shared" si="53"/>
        <v>9.6587332808812043E-2</v>
      </c>
      <c r="EV149" s="443">
        <f t="shared" si="53"/>
        <v>8.2266322194778141E-2</v>
      </c>
      <c r="EW149" s="443">
        <f t="shared" si="53"/>
        <v>4.0084997716618442E-2</v>
      </c>
      <c r="EX149" s="443">
        <f t="shared" si="53"/>
        <v>8.1945827524397608E-2</v>
      </c>
      <c r="EY149" s="443">
        <f t="shared" si="53"/>
        <v>6.2121697902396855E-2</v>
      </c>
      <c r="EZ149" s="443">
        <f t="shared" si="53"/>
        <v>0.10294742878612606</v>
      </c>
      <c r="FA149" s="443">
        <f t="shared" si="53"/>
        <v>0.13861375156671141</v>
      </c>
      <c r="FB149" s="443">
        <f t="shared" si="53"/>
        <v>0.10392045080799006</v>
      </c>
      <c r="FC149" s="443">
        <f t="shared" si="53"/>
        <v>0.18780046751642931</v>
      </c>
      <c r="FD149" s="443">
        <f t="shared" si="53"/>
        <v>8.4072764022233404E-2</v>
      </c>
      <c r="FE149" s="443">
        <f t="shared" si="53"/>
        <v>0.13494285047818977</v>
      </c>
      <c r="FF149" s="443">
        <f t="shared" si="53"/>
        <v>8.5024193467260867E-2</v>
      </c>
      <c r="FG149" s="443">
        <f t="shared" si="53"/>
        <v>0.11862165278938619</v>
      </c>
      <c r="FH149" s="443">
        <f t="shared" si="53"/>
        <v>0.13839049995341091</v>
      </c>
      <c r="FI149" s="443">
        <f t="shared" si="53"/>
        <v>0.12046309515125619</v>
      </c>
      <c r="FJ149" s="443">
        <f t="shared" si="53"/>
        <v>0.15867735428613683</v>
      </c>
      <c r="FK149" s="443">
        <f t="shared" si="53"/>
        <v>9.9516995350328763E-2</v>
      </c>
      <c r="FL149" s="443">
        <f t="shared" si="53"/>
        <v>0.14519230769230762</v>
      </c>
      <c r="FM149" s="443">
        <f t="shared" si="53"/>
        <v>0.15444732249063398</v>
      </c>
      <c r="FN149" s="443">
        <f t="shared" si="53"/>
        <v>0.1490321389843805</v>
      </c>
      <c r="FO149" s="443">
        <f t="shared" si="53"/>
        <v>0.23091343075042214</v>
      </c>
      <c r="FP149" s="443">
        <f t="shared" si="53"/>
        <v>0.14931890764518019</v>
      </c>
      <c r="FQ149" s="443">
        <f t="shared" si="53"/>
        <v>0.1988271078645989</v>
      </c>
      <c r="FR149" s="443">
        <f t="shared" si="53"/>
        <v>0.15303675927504123</v>
      </c>
      <c r="FS149" s="443">
        <f t="shared" si="53"/>
        <v>0.12296584918633968</v>
      </c>
      <c r="FT149" s="443">
        <f t="shared" si="53"/>
        <v>0.1495869538267347</v>
      </c>
      <c r="FU149" s="443">
        <f t="shared" si="53"/>
        <v>0.16714003317352488</v>
      </c>
      <c r="FV149" s="443">
        <f t="shared" si="53"/>
        <v>0.20133274818681568</v>
      </c>
      <c r="FW149" s="443">
        <f t="shared" si="53"/>
        <v>0.20178779283300741</v>
      </c>
      <c r="FX149" s="443">
        <f t="shared" si="53"/>
        <v>0.24276506719192525</v>
      </c>
      <c r="FY149" s="443">
        <f t="shared" si="53"/>
        <v>0.22438134420649214</v>
      </c>
      <c r="FZ149" s="443">
        <f t="shared" si="53"/>
        <v>0.21578704454451336</v>
      </c>
      <c r="GA149" s="443">
        <f t="shared" si="53"/>
        <v>0.2622910551331965</v>
      </c>
      <c r="GB149" s="443">
        <f t="shared" si="53"/>
        <v>0.22633053221288524</v>
      </c>
      <c r="GC149" s="443">
        <f t="shared" si="53"/>
        <v>0.24401615637778007</v>
      </c>
      <c r="GD149" s="443">
        <f t="shared" si="53"/>
        <v>0.23892965962037782</v>
      </c>
      <c r="GE149" s="443">
        <f t="shared" si="53"/>
        <v>0.2555790986704336</v>
      </c>
      <c r="GF149" s="443">
        <f t="shared" si="53"/>
        <v>0.24371922210166086</v>
      </c>
      <c r="GG149" s="443">
        <f t="shared" si="53"/>
        <v>0.24967081460041052</v>
      </c>
      <c r="GH149" s="443">
        <f t="shared" si="53"/>
        <v>0.26886922864252139</v>
      </c>
      <c r="GI149" s="443">
        <f t="shared" si="53"/>
        <v>0.27687838277661925</v>
      </c>
      <c r="GJ149" s="443">
        <f t="shared" si="53"/>
        <v>0.28840136538188021</v>
      </c>
      <c r="GK149" s="443">
        <f t="shared" si="53"/>
        <v>0.27761833696858385</v>
      </c>
    </row>
    <row r="151" spans="1:193">
      <c r="D151" s="467"/>
      <c r="E151" s="467"/>
      <c r="F151" s="467"/>
      <c r="G151" s="467"/>
      <c r="H151" s="467"/>
      <c r="I151" s="467"/>
      <c r="J151" s="467"/>
      <c r="K151" s="467"/>
      <c r="L151" s="467"/>
      <c r="M151" s="467"/>
      <c r="N151" s="467"/>
      <c r="O151" s="467"/>
      <c r="P151" s="467"/>
      <c r="Q151" s="467"/>
      <c r="R151" s="467"/>
      <c r="S151" s="467"/>
      <c r="T151" s="467"/>
      <c r="U151" s="467"/>
      <c r="V151" s="467"/>
      <c r="W151" s="467"/>
      <c r="X151" s="467"/>
      <c r="Y151" s="467"/>
      <c r="Z151" s="467"/>
      <c r="AA151" s="467"/>
      <c r="AB151" s="467"/>
      <c r="AC151" s="467"/>
      <c r="AD151" s="467"/>
      <c r="AE151" s="467"/>
      <c r="AF151" s="467"/>
      <c r="AG151" s="467"/>
      <c r="AH151" s="467"/>
      <c r="AI151" s="467"/>
      <c r="AJ151" s="467"/>
      <c r="AK151" s="467"/>
      <c r="AL151" s="467"/>
      <c r="AM151" s="467"/>
      <c r="AN151" s="467"/>
      <c r="AO151" s="467"/>
      <c r="AP151" s="467"/>
      <c r="AQ151" s="467"/>
      <c r="AR151" s="467"/>
      <c r="AS151" s="467"/>
      <c r="AT151" s="467"/>
      <c r="AU151" s="467"/>
      <c r="AV151" s="467"/>
      <c r="AW151" s="467"/>
      <c r="AX151" s="467"/>
      <c r="AY151" s="467"/>
      <c r="AZ151" s="467"/>
      <c r="BA151" s="467"/>
      <c r="BB151" s="467"/>
      <c r="BC151" s="467"/>
      <c r="BD151" s="467"/>
      <c r="BE151" s="467"/>
      <c r="BF151" s="467"/>
      <c r="BG151" s="467"/>
      <c r="BH151" s="467"/>
      <c r="BI151" s="467"/>
      <c r="BJ151" s="467"/>
      <c r="BK151" s="467"/>
      <c r="BL151" s="467"/>
      <c r="BM151" s="467"/>
      <c r="BN151" s="467"/>
      <c r="BO151" s="467"/>
      <c r="BP151" s="467"/>
      <c r="BQ151" s="467"/>
      <c r="BR151" s="467"/>
      <c r="BS151" s="467"/>
      <c r="BT151" s="467"/>
      <c r="BU151" s="467"/>
      <c r="BV151" s="467"/>
      <c r="BW151" s="467"/>
      <c r="BX151" s="467"/>
      <c r="BY151" s="467"/>
      <c r="BZ151" s="467"/>
      <c r="CA151" s="467"/>
      <c r="CB151" s="467"/>
      <c r="CC151" s="467"/>
      <c r="CD151" s="467"/>
      <c r="CE151" s="467"/>
      <c r="CF151" s="467"/>
      <c r="CG151" s="467"/>
      <c r="CH151" s="467"/>
      <c r="CI151" s="467"/>
      <c r="CJ151" s="467"/>
      <c r="CK151" s="467"/>
      <c r="CL151" s="467"/>
      <c r="CM151" s="467"/>
      <c r="CN151" s="467"/>
      <c r="CO151" s="467"/>
      <c r="CP151" s="467"/>
      <c r="CQ151" s="467"/>
      <c r="CR151" s="467"/>
      <c r="CS151" s="467"/>
      <c r="CT151" s="467"/>
      <c r="CU151" s="467"/>
      <c r="CV151" s="467"/>
      <c r="CW151" s="467"/>
      <c r="CX151" s="467"/>
      <c r="CY151" s="467"/>
      <c r="CZ151" s="467"/>
      <c r="DA151" s="467"/>
      <c r="DB151" s="467"/>
      <c r="DC151" s="467"/>
      <c r="DD151" s="467"/>
      <c r="DE151" s="467"/>
      <c r="DF151" s="467"/>
      <c r="DG151" s="467"/>
      <c r="DH151" s="467"/>
      <c r="DI151" s="467"/>
      <c r="DJ151" s="467"/>
      <c r="DK151" s="467"/>
      <c r="DL151" s="467"/>
      <c r="DM151" s="467"/>
      <c r="DN151" s="467"/>
      <c r="DO151" s="467"/>
      <c r="DP151" s="467"/>
      <c r="DQ151" s="467"/>
      <c r="DR151" s="467"/>
      <c r="DS151" s="467"/>
      <c r="DT151" s="467"/>
      <c r="DU151" s="467"/>
      <c r="DV151" s="467"/>
      <c r="DW151" s="467"/>
      <c r="DX151" s="467"/>
      <c r="DY151" s="467"/>
      <c r="DZ151" s="467"/>
      <c r="EA151" s="467"/>
      <c r="EB151" s="467"/>
      <c r="EC151" s="467"/>
      <c r="ED151" s="467"/>
      <c r="EE151" s="467"/>
      <c r="EF151" s="467"/>
      <c r="EG151" s="467"/>
      <c r="EH151" s="467"/>
      <c r="EI151" s="467"/>
      <c r="EJ151" s="467"/>
      <c r="EK151" s="467"/>
      <c r="EL151" s="467"/>
      <c r="EM151" s="467"/>
      <c r="EN151" s="467"/>
      <c r="EO151" s="467"/>
      <c r="EP151" s="467"/>
      <c r="EQ151" s="467"/>
      <c r="ER151" s="467"/>
      <c r="ES151" s="467"/>
      <c r="ET151" s="467"/>
      <c r="EU151" s="467"/>
      <c r="EV151" s="467"/>
      <c r="EW151" s="467"/>
      <c r="EX151" s="467"/>
      <c r="EY151" s="467"/>
      <c r="EZ151" s="467"/>
      <c r="FA151" s="467"/>
      <c r="FB151" s="467"/>
      <c r="FC151" s="467"/>
      <c r="FD151" s="467"/>
      <c r="FE151" s="467"/>
      <c r="FF151" s="467"/>
      <c r="FG151" s="467"/>
      <c r="FH151" s="467"/>
      <c r="FI151" s="467"/>
      <c r="FJ151" s="467"/>
      <c r="FK151" s="467"/>
      <c r="FL151" s="467"/>
      <c r="FM151" s="467"/>
      <c r="FN151" s="467"/>
      <c r="FO151" s="467"/>
      <c r="FP151" s="467"/>
      <c r="FQ151" s="467"/>
      <c r="FR151" s="467"/>
      <c r="FS151" s="467"/>
      <c r="FT151" s="467"/>
      <c r="FU151" s="467"/>
      <c r="FV151" s="467"/>
      <c r="FW151" s="467"/>
      <c r="FX151" s="467"/>
      <c r="FY151" s="467"/>
      <c r="FZ151" s="467"/>
      <c r="GA151" s="467"/>
      <c r="GB151" s="467"/>
      <c r="GC151" s="467"/>
      <c r="GD151" s="467"/>
      <c r="GE151" s="467"/>
      <c r="GF151" s="467"/>
      <c r="GG151" s="467"/>
      <c r="GH151" s="467"/>
      <c r="GI151" s="467"/>
      <c r="GJ151" s="467"/>
      <c r="GK151" s="467"/>
    </row>
    <row r="152" spans="1:193" hidden="1">
      <c r="A152" s="357" t="s">
        <v>608</v>
      </c>
    </row>
    <row r="153" spans="1:193" ht="15.75" hidden="1" thickBot="1">
      <c r="A153" s="26" t="s">
        <v>177</v>
      </c>
      <c r="B153" s="230" t="s">
        <v>356</v>
      </c>
      <c r="C153" s="230" t="s">
        <v>357</v>
      </c>
      <c r="D153" s="230" t="s">
        <v>358</v>
      </c>
      <c r="E153" s="230" t="s">
        <v>359</v>
      </c>
      <c r="F153" s="230" t="s">
        <v>360</v>
      </c>
      <c r="G153" s="230" t="s">
        <v>361</v>
      </c>
      <c r="H153" s="230" t="s">
        <v>362</v>
      </c>
      <c r="I153" s="230" t="s">
        <v>363</v>
      </c>
      <c r="J153" s="230" t="s">
        <v>364</v>
      </c>
      <c r="K153" s="230" t="s">
        <v>365</v>
      </c>
      <c r="L153" s="230" t="s">
        <v>366</v>
      </c>
      <c r="M153" s="230" t="s">
        <v>367</v>
      </c>
      <c r="N153" s="230" t="s">
        <v>368</v>
      </c>
      <c r="O153" s="230" t="s">
        <v>369</v>
      </c>
      <c r="P153" s="230" t="s">
        <v>370</v>
      </c>
      <c r="Q153" s="230" t="s">
        <v>371</v>
      </c>
      <c r="R153" s="230" t="s">
        <v>372</v>
      </c>
      <c r="S153" s="230" t="s">
        <v>373</v>
      </c>
      <c r="T153" s="230" t="s">
        <v>374</v>
      </c>
      <c r="U153" s="230" t="s">
        <v>375</v>
      </c>
      <c r="V153" s="230" t="s">
        <v>376</v>
      </c>
      <c r="W153" s="230" t="s">
        <v>377</v>
      </c>
      <c r="X153" s="230" t="s">
        <v>378</v>
      </c>
      <c r="Y153" s="230" t="s">
        <v>379</v>
      </c>
      <c r="Z153" s="230" t="s">
        <v>380</v>
      </c>
      <c r="AA153" s="230" t="s">
        <v>381</v>
      </c>
      <c r="AB153" s="230" t="s">
        <v>382</v>
      </c>
      <c r="AC153" s="230" t="s">
        <v>383</v>
      </c>
      <c r="AD153" s="230" t="s">
        <v>384</v>
      </c>
      <c r="AE153" s="230" t="s">
        <v>385</v>
      </c>
      <c r="AF153" s="230" t="s">
        <v>386</v>
      </c>
      <c r="AG153" s="230" t="s">
        <v>387</v>
      </c>
      <c r="AH153" s="230" t="s">
        <v>388</v>
      </c>
      <c r="AI153" s="230" t="s">
        <v>389</v>
      </c>
      <c r="AJ153" s="230" t="s">
        <v>390</v>
      </c>
      <c r="AK153" s="230" t="s">
        <v>391</v>
      </c>
      <c r="AL153" s="230" t="s">
        <v>392</v>
      </c>
      <c r="AM153" s="230" t="s">
        <v>393</v>
      </c>
      <c r="AN153" s="230" t="s">
        <v>394</v>
      </c>
      <c r="AO153" s="230" t="s">
        <v>395</v>
      </c>
      <c r="AP153" s="230" t="s">
        <v>396</v>
      </c>
      <c r="AQ153" s="230" t="s">
        <v>397</v>
      </c>
      <c r="AR153" s="230" t="s">
        <v>398</v>
      </c>
      <c r="AS153" s="230" t="s">
        <v>399</v>
      </c>
      <c r="AT153" s="230" t="s">
        <v>400</v>
      </c>
      <c r="AU153" s="230" t="s">
        <v>401</v>
      </c>
      <c r="AV153" s="230" t="s">
        <v>402</v>
      </c>
      <c r="AW153" s="230" t="s">
        <v>403</v>
      </c>
      <c r="AX153" s="230" t="s">
        <v>404</v>
      </c>
      <c r="AY153" s="230" t="s">
        <v>405</v>
      </c>
      <c r="AZ153" s="230" t="s">
        <v>406</v>
      </c>
      <c r="BA153" s="230" t="s">
        <v>407</v>
      </c>
      <c r="BB153" s="230" t="s">
        <v>408</v>
      </c>
      <c r="BC153" s="230" t="s">
        <v>409</v>
      </c>
      <c r="BD153" s="230" t="s">
        <v>410</v>
      </c>
      <c r="BE153" s="230" t="s">
        <v>411</v>
      </c>
      <c r="BF153" s="230" t="s">
        <v>412</v>
      </c>
      <c r="BG153" s="230" t="s">
        <v>413</v>
      </c>
      <c r="BH153" s="230" t="s">
        <v>414</v>
      </c>
      <c r="BI153" s="230" t="s">
        <v>415</v>
      </c>
      <c r="BJ153" s="230" t="s">
        <v>416</v>
      </c>
      <c r="BK153" s="230" t="s">
        <v>417</v>
      </c>
      <c r="BL153" s="230" t="s">
        <v>418</v>
      </c>
      <c r="BM153" s="230" t="s">
        <v>419</v>
      </c>
      <c r="BN153" s="230" t="s">
        <v>420</v>
      </c>
      <c r="BO153" s="230" t="s">
        <v>421</v>
      </c>
      <c r="BP153" s="230" t="s">
        <v>422</v>
      </c>
      <c r="BQ153" s="230" t="s">
        <v>423</v>
      </c>
      <c r="BR153" s="230" t="s">
        <v>424</v>
      </c>
      <c r="BS153" s="387" t="s">
        <v>425</v>
      </c>
    </row>
    <row r="154" spans="1:193" hidden="1">
      <c r="A154" s="231" t="s">
        <v>337</v>
      </c>
      <c r="B154" s="348">
        <f>AVERAGEIFS($B135:$XX135,$B$63:$XX$63,RIGHT(LEFT(B$64,2),1),$B$62:$XX$62,RIGHT(B$64,4))</f>
        <v>1092</v>
      </c>
      <c r="C154" s="348">
        <f t="shared" ref="C154:BN164" si="54">AVERAGEIFS($B135:$XX135,$B$63:$XX$63,RIGHT(LEFT(C$64,2),1),$B$62:$XX$62,RIGHT(C$64,4))</f>
        <v>1113.6666666666667</v>
      </c>
      <c r="D154" s="348">
        <f t="shared" si="54"/>
        <v>1053</v>
      </c>
      <c r="E154" s="348">
        <f t="shared" si="54"/>
        <v>1125.5</v>
      </c>
      <c r="F154" s="348">
        <f t="shared" si="54"/>
        <v>1167.5</v>
      </c>
      <c r="G154" s="348">
        <f t="shared" si="54"/>
        <v>1031.3333333333333</v>
      </c>
      <c r="H154" s="348">
        <f t="shared" si="54"/>
        <v>797.33333333333337</v>
      </c>
      <c r="I154" s="348">
        <f t="shared" si="54"/>
        <v>1039.8333333333333</v>
      </c>
      <c r="J154" s="348">
        <f t="shared" si="54"/>
        <v>1184.6666666666667</v>
      </c>
      <c r="K154" s="348">
        <f t="shared" si="54"/>
        <v>1815</v>
      </c>
      <c r="L154" s="348">
        <f t="shared" si="54"/>
        <v>1947.1666666666667</v>
      </c>
      <c r="M154" s="348">
        <f t="shared" si="54"/>
        <v>2096</v>
      </c>
      <c r="N154" s="348">
        <f t="shared" si="54"/>
        <v>2148.5</v>
      </c>
      <c r="O154" s="348">
        <f t="shared" si="54"/>
        <v>2332.6666666666665</v>
      </c>
      <c r="P154" s="348">
        <f t="shared" si="54"/>
        <v>2431.8333333333335</v>
      </c>
      <c r="Q154" s="348">
        <f t="shared" si="54"/>
        <v>2274.6666666666665</v>
      </c>
      <c r="R154" s="348">
        <f t="shared" si="54"/>
        <v>1579</v>
      </c>
      <c r="S154" s="348">
        <f t="shared" si="54"/>
        <v>1707.6666666666667</v>
      </c>
      <c r="T154" s="348">
        <f t="shared" si="54"/>
        <v>2151</v>
      </c>
      <c r="U154" s="348">
        <f t="shared" si="54"/>
        <v>2250.6666666666665</v>
      </c>
      <c r="V154" s="348">
        <f t="shared" si="54"/>
        <v>2380.8333333333335</v>
      </c>
      <c r="W154" s="348">
        <f t="shared" si="54"/>
        <v>2775.6666666666665</v>
      </c>
      <c r="X154" s="348">
        <f t="shared" si="54"/>
        <v>3039.6666666666665</v>
      </c>
      <c r="Y154" s="348">
        <f t="shared" si="54"/>
        <v>3039.3333333333335</v>
      </c>
      <c r="Z154" s="348">
        <f t="shared" si="54"/>
        <v>2800.6666666666665</v>
      </c>
      <c r="AA154" s="348">
        <f t="shared" si="54"/>
        <v>2808.3333333333335</v>
      </c>
      <c r="AB154" s="348">
        <f t="shared" si="54"/>
        <v>2490</v>
      </c>
      <c r="AC154" s="348">
        <f t="shared" si="54"/>
        <v>2526</v>
      </c>
      <c r="AD154" s="348">
        <f t="shared" si="54"/>
        <v>2536.6666666666665</v>
      </c>
      <c r="AE154" s="348">
        <f t="shared" si="54"/>
        <v>2461.1666666666665</v>
      </c>
      <c r="AF154" s="348">
        <f>AVERAGEIFS($B135:$XX135,$B$63:$XX$63,RIGHT(LEFT(AF$64,2),1),$B$62:$XX$62,RIGHT(AF$64,4))</f>
        <v>2255.5</v>
      </c>
      <c r="AG154" s="348">
        <f t="shared" si="54"/>
        <v>2194.8333333333335</v>
      </c>
      <c r="AH154" s="348" t="e">
        <f t="shared" si="54"/>
        <v>#DIV/0!</v>
      </c>
      <c r="AI154" s="348" t="e">
        <f t="shared" si="54"/>
        <v>#DIV/0!</v>
      </c>
      <c r="AJ154" s="348" t="e">
        <f t="shared" si="54"/>
        <v>#DIV/0!</v>
      </c>
      <c r="AK154" s="348" t="e">
        <f t="shared" si="54"/>
        <v>#DIV/0!</v>
      </c>
      <c r="AL154" s="348" t="e">
        <f t="shared" si="54"/>
        <v>#DIV/0!</v>
      </c>
      <c r="AM154" s="348" t="e">
        <f t="shared" si="54"/>
        <v>#DIV/0!</v>
      </c>
      <c r="AN154" s="348" t="e">
        <f t="shared" si="54"/>
        <v>#DIV/0!</v>
      </c>
      <c r="AO154" s="348" t="e">
        <f t="shared" si="54"/>
        <v>#DIV/0!</v>
      </c>
      <c r="AP154" s="348" t="e">
        <f t="shared" si="54"/>
        <v>#DIV/0!</v>
      </c>
      <c r="AQ154" s="348" t="e">
        <f t="shared" si="54"/>
        <v>#DIV/0!</v>
      </c>
      <c r="AR154" s="348" t="e">
        <f t="shared" si="54"/>
        <v>#DIV/0!</v>
      </c>
      <c r="AS154" s="348" t="e">
        <f t="shared" si="54"/>
        <v>#DIV/0!</v>
      </c>
      <c r="AT154" s="348" t="e">
        <f t="shared" si="54"/>
        <v>#DIV/0!</v>
      </c>
      <c r="AU154" s="348" t="e">
        <f t="shared" si="54"/>
        <v>#DIV/0!</v>
      </c>
      <c r="AV154" s="348" t="e">
        <f t="shared" si="54"/>
        <v>#DIV/0!</v>
      </c>
      <c r="AW154" s="348" t="e">
        <f t="shared" si="54"/>
        <v>#DIV/0!</v>
      </c>
      <c r="AX154" s="348" t="e">
        <f t="shared" si="54"/>
        <v>#DIV/0!</v>
      </c>
      <c r="AY154" s="348" t="e">
        <f t="shared" si="54"/>
        <v>#DIV/0!</v>
      </c>
      <c r="AZ154" s="348" t="e">
        <f t="shared" si="54"/>
        <v>#DIV/0!</v>
      </c>
      <c r="BA154" s="348" t="e">
        <f t="shared" si="54"/>
        <v>#DIV/0!</v>
      </c>
      <c r="BB154" s="348" t="e">
        <f t="shared" si="54"/>
        <v>#DIV/0!</v>
      </c>
      <c r="BC154" s="348" t="e">
        <f t="shared" si="54"/>
        <v>#DIV/0!</v>
      </c>
      <c r="BD154" s="348" t="e">
        <f t="shared" si="54"/>
        <v>#DIV/0!</v>
      </c>
      <c r="BE154" s="348" t="e">
        <f t="shared" si="54"/>
        <v>#DIV/0!</v>
      </c>
      <c r="BF154" s="348" t="e">
        <f t="shared" si="54"/>
        <v>#DIV/0!</v>
      </c>
      <c r="BG154" s="348" t="e">
        <f t="shared" si="54"/>
        <v>#DIV/0!</v>
      </c>
      <c r="BH154" s="348" t="e">
        <f t="shared" si="54"/>
        <v>#DIV/0!</v>
      </c>
      <c r="BI154" s="348" t="e">
        <f t="shared" si="54"/>
        <v>#DIV/0!</v>
      </c>
      <c r="BJ154" s="348" t="e">
        <f t="shared" si="54"/>
        <v>#DIV/0!</v>
      </c>
      <c r="BK154" s="348" t="e">
        <f t="shared" si="54"/>
        <v>#DIV/0!</v>
      </c>
      <c r="BL154" s="348" t="e">
        <f t="shared" si="54"/>
        <v>#DIV/0!</v>
      </c>
      <c r="BM154" s="348" t="e">
        <f t="shared" si="54"/>
        <v>#DIV/0!</v>
      </c>
      <c r="BN154" s="348" t="e">
        <f t="shared" si="54"/>
        <v>#DIV/0!</v>
      </c>
      <c r="BO154" s="348" t="e">
        <f t="shared" ref="BO154:BS164" si="55">AVERAGEIFS($B135:$XX135,$B$63:$XX$63,RIGHT(LEFT(BO$64,2),1),$B$62:$XX$62,RIGHT(BO$64,4))</f>
        <v>#DIV/0!</v>
      </c>
      <c r="BP154" s="348" t="e">
        <f t="shared" si="55"/>
        <v>#DIV/0!</v>
      </c>
      <c r="BQ154" s="348" t="e">
        <f t="shared" si="55"/>
        <v>#DIV/0!</v>
      </c>
      <c r="BR154" s="348" t="e">
        <f t="shared" si="55"/>
        <v>#DIV/0!</v>
      </c>
      <c r="BS154" s="24" t="e">
        <f t="shared" si="55"/>
        <v>#DIV/0!</v>
      </c>
    </row>
    <row r="155" spans="1:193" hidden="1">
      <c r="A155" s="231" t="s">
        <v>240</v>
      </c>
      <c r="B155" s="442">
        <f t="shared" ref="B155:BM158" si="56">AVERAGEIFS($B136:$XX136,$B$63:$XX$63,RIGHT(LEFT(B$64,2),1),$B$62:$XX$62,RIGHT(B$64,4))</f>
        <v>6228</v>
      </c>
      <c r="C155" s="442">
        <f t="shared" si="56"/>
        <v>6503.666666666667</v>
      </c>
      <c r="D155" s="442">
        <f t="shared" si="56"/>
        <v>6383.666666666667</v>
      </c>
      <c r="E155" s="442">
        <f t="shared" si="56"/>
        <v>6551.166666666667</v>
      </c>
      <c r="F155" s="442">
        <f t="shared" si="56"/>
        <v>6702.833333333333</v>
      </c>
      <c r="G155" s="442">
        <f t="shared" si="56"/>
        <v>6895.5</v>
      </c>
      <c r="H155" s="442">
        <f t="shared" si="56"/>
        <v>7014.833333333333</v>
      </c>
      <c r="I155" s="442">
        <f t="shared" si="56"/>
        <v>7783.833333333333</v>
      </c>
      <c r="J155" s="442">
        <f t="shared" si="56"/>
        <v>9141.8333333333339</v>
      </c>
      <c r="K155" s="442">
        <f t="shared" si="56"/>
        <v>10101</v>
      </c>
      <c r="L155" s="442">
        <f t="shared" si="56"/>
        <v>9413.8333333333339</v>
      </c>
      <c r="M155" s="442">
        <f t="shared" si="56"/>
        <v>8418</v>
      </c>
      <c r="N155" s="442">
        <f t="shared" si="56"/>
        <v>8539.3333333333339</v>
      </c>
      <c r="O155" s="442">
        <f t="shared" si="56"/>
        <v>8396.1666666666661</v>
      </c>
      <c r="P155" s="442">
        <f t="shared" si="56"/>
        <v>8139.333333333333</v>
      </c>
      <c r="Q155" s="442">
        <f t="shared" si="56"/>
        <v>8089.333333333333</v>
      </c>
      <c r="R155" s="442">
        <f t="shared" si="56"/>
        <v>8218.1666666666661</v>
      </c>
      <c r="S155" s="442">
        <f t="shared" si="56"/>
        <v>8502.1666666666661</v>
      </c>
      <c r="T155" s="442">
        <f t="shared" si="56"/>
        <v>9137.8333333333339</v>
      </c>
      <c r="U155" s="442">
        <f t="shared" si="56"/>
        <v>10163.166666666666</v>
      </c>
      <c r="V155" s="442">
        <f t="shared" si="56"/>
        <v>11452</v>
      </c>
      <c r="W155" s="442">
        <f t="shared" si="56"/>
        <v>11127.666666666666</v>
      </c>
      <c r="X155" s="442">
        <f t="shared" si="56"/>
        <v>9184</v>
      </c>
      <c r="Y155" s="442">
        <f t="shared" si="56"/>
        <v>7396.5</v>
      </c>
      <c r="Z155" s="442">
        <f t="shared" si="56"/>
        <v>7386.666666666667</v>
      </c>
      <c r="AA155" s="442">
        <f t="shared" si="56"/>
        <v>7325.666666666667</v>
      </c>
      <c r="AB155" s="442">
        <f t="shared" si="56"/>
        <v>7489.833333333333</v>
      </c>
      <c r="AC155" s="442">
        <f t="shared" si="56"/>
        <v>7416.833333333333</v>
      </c>
      <c r="AD155" s="442">
        <f t="shared" si="56"/>
        <v>7545.833333333333</v>
      </c>
      <c r="AE155" s="442">
        <f t="shared" si="56"/>
        <v>7647.166666666667</v>
      </c>
      <c r="AF155" s="442">
        <f t="shared" si="56"/>
        <v>6821.166666666667</v>
      </c>
      <c r="AG155" s="442">
        <f t="shared" si="56"/>
        <v>6609.666666666667</v>
      </c>
      <c r="AH155" s="442" t="e">
        <f t="shared" si="56"/>
        <v>#DIV/0!</v>
      </c>
      <c r="AI155" s="442" t="e">
        <f t="shared" si="56"/>
        <v>#DIV/0!</v>
      </c>
      <c r="AJ155" s="442" t="e">
        <f t="shared" si="56"/>
        <v>#DIV/0!</v>
      </c>
      <c r="AK155" s="442" t="e">
        <f t="shared" si="56"/>
        <v>#DIV/0!</v>
      </c>
      <c r="AL155" s="442" t="e">
        <f t="shared" si="56"/>
        <v>#DIV/0!</v>
      </c>
      <c r="AM155" s="442" t="e">
        <f t="shared" si="56"/>
        <v>#DIV/0!</v>
      </c>
      <c r="AN155" s="442" t="e">
        <f t="shared" si="56"/>
        <v>#DIV/0!</v>
      </c>
      <c r="AO155" s="442" t="e">
        <f t="shared" si="56"/>
        <v>#DIV/0!</v>
      </c>
      <c r="AP155" s="442" t="e">
        <f t="shared" si="56"/>
        <v>#DIV/0!</v>
      </c>
      <c r="AQ155" s="442" t="e">
        <f t="shared" si="56"/>
        <v>#DIV/0!</v>
      </c>
      <c r="AR155" s="442" t="e">
        <f t="shared" si="56"/>
        <v>#DIV/0!</v>
      </c>
      <c r="AS155" s="442" t="e">
        <f t="shared" si="56"/>
        <v>#DIV/0!</v>
      </c>
      <c r="AT155" s="442" t="e">
        <f t="shared" si="56"/>
        <v>#DIV/0!</v>
      </c>
      <c r="AU155" s="442" t="e">
        <f t="shared" si="56"/>
        <v>#DIV/0!</v>
      </c>
      <c r="AV155" s="442" t="e">
        <f t="shared" si="56"/>
        <v>#DIV/0!</v>
      </c>
      <c r="AW155" s="442" t="e">
        <f t="shared" si="56"/>
        <v>#DIV/0!</v>
      </c>
      <c r="AX155" s="442" t="e">
        <f t="shared" si="56"/>
        <v>#DIV/0!</v>
      </c>
      <c r="AY155" s="442" t="e">
        <f t="shared" si="56"/>
        <v>#DIV/0!</v>
      </c>
      <c r="AZ155" s="442" t="e">
        <f t="shared" si="56"/>
        <v>#DIV/0!</v>
      </c>
      <c r="BA155" s="442" t="e">
        <f t="shared" si="56"/>
        <v>#DIV/0!</v>
      </c>
      <c r="BB155" s="442" t="e">
        <f t="shared" si="56"/>
        <v>#DIV/0!</v>
      </c>
      <c r="BC155" s="442" t="e">
        <f t="shared" si="56"/>
        <v>#DIV/0!</v>
      </c>
      <c r="BD155" s="442" t="e">
        <f t="shared" si="56"/>
        <v>#DIV/0!</v>
      </c>
      <c r="BE155" s="442" t="e">
        <f t="shared" si="56"/>
        <v>#DIV/0!</v>
      </c>
      <c r="BF155" s="442" t="e">
        <f t="shared" si="56"/>
        <v>#DIV/0!</v>
      </c>
      <c r="BG155" s="442" t="e">
        <f t="shared" si="56"/>
        <v>#DIV/0!</v>
      </c>
      <c r="BH155" s="442" t="e">
        <f t="shared" si="56"/>
        <v>#DIV/0!</v>
      </c>
      <c r="BI155" s="442" t="e">
        <f t="shared" si="56"/>
        <v>#DIV/0!</v>
      </c>
      <c r="BJ155" s="442" t="e">
        <f t="shared" si="56"/>
        <v>#DIV/0!</v>
      </c>
      <c r="BK155" s="442" t="e">
        <f t="shared" si="56"/>
        <v>#DIV/0!</v>
      </c>
      <c r="BL155" s="442" t="e">
        <f t="shared" si="56"/>
        <v>#DIV/0!</v>
      </c>
      <c r="BM155" s="442" t="e">
        <f t="shared" si="56"/>
        <v>#DIV/0!</v>
      </c>
      <c r="BN155" s="442" t="e">
        <f t="shared" si="54"/>
        <v>#DIV/0!</v>
      </c>
      <c r="BO155" s="442" t="e">
        <f t="shared" si="55"/>
        <v>#DIV/0!</v>
      </c>
      <c r="BP155" s="442" t="e">
        <f t="shared" si="55"/>
        <v>#DIV/0!</v>
      </c>
      <c r="BQ155" s="442" t="e">
        <f t="shared" si="55"/>
        <v>#DIV/0!</v>
      </c>
      <c r="BR155" s="442" t="e">
        <f t="shared" si="55"/>
        <v>#DIV/0!</v>
      </c>
      <c r="BS155" s="431" t="e">
        <f t="shared" si="55"/>
        <v>#DIV/0!</v>
      </c>
    </row>
    <row r="156" spans="1:193" hidden="1">
      <c r="A156" s="231" t="s">
        <v>243</v>
      </c>
      <c r="B156" s="348">
        <f t="shared" si="56"/>
        <v>686.16666666666663</v>
      </c>
      <c r="C156" s="348">
        <f t="shared" si="56"/>
        <v>666.83333333333337</v>
      </c>
      <c r="D156" s="348">
        <f t="shared" si="56"/>
        <v>657.33333333333337</v>
      </c>
      <c r="E156" s="348">
        <f t="shared" si="56"/>
        <v>640.16666666666663</v>
      </c>
      <c r="F156" s="348">
        <f t="shared" si="56"/>
        <v>639.66666666666663</v>
      </c>
      <c r="G156" s="348">
        <f t="shared" si="56"/>
        <v>641.33333333333337</v>
      </c>
      <c r="H156" s="348">
        <f t="shared" si="56"/>
        <v>640.16666666666663</v>
      </c>
      <c r="I156" s="348">
        <f t="shared" si="56"/>
        <v>661.16666666666663</v>
      </c>
      <c r="J156" s="348">
        <f t="shared" si="56"/>
        <v>703</v>
      </c>
      <c r="K156" s="348">
        <f t="shared" si="56"/>
        <v>730.66666666666663</v>
      </c>
      <c r="L156" s="348">
        <f t="shared" si="56"/>
        <v>770.5</v>
      </c>
      <c r="M156" s="348">
        <f t="shared" si="56"/>
        <v>771.5</v>
      </c>
      <c r="N156" s="348">
        <f t="shared" si="56"/>
        <v>771.33333333333337</v>
      </c>
      <c r="O156" s="348">
        <f t="shared" si="56"/>
        <v>845.16666666666663</v>
      </c>
      <c r="P156" s="348">
        <f t="shared" si="56"/>
        <v>874.83333333333337</v>
      </c>
      <c r="Q156" s="348">
        <f t="shared" si="56"/>
        <v>918.5</v>
      </c>
      <c r="R156" s="348">
        <f t="shared" si="56"/>
        <v>912</v>
      </c>
      <c r="S156" s="348">
        <f t="shared" si="56"/>
        <v>942.33333333333337</v>
      </c>
      <c r="T156" s="348">
        <f t="shared" si="56"/>
        <v>994.66666666666663</v>
      </c>
      <c r="U156" s="348">
        <f t="shared" si="56"/>
        <v>1045.1666666666667</v>
      </c>
      <c r="V156" s="348">
        <f t="shared" si="56"/>
        <v>924</v>
      </c>
      <c r="W156" s="348">
        <f t="shared" si="56"/>
        <v>675.33333333333337</v>
      </c>
      <c r="X156" s="348">
        <f t="shared" si="56"/>
        <v>502.83333333333331</v>
      </c>
      <c r="Y156" s="348">
        <f t="shared" si="56"/>
        <v>413.66666666666669</v>
      </c>
      <c r="Z156" s="348">
        <f t="shared" si="56"/>
        <v>422.16666666666669</v>
      </c>
      <c r="AA156" s="348">
        <f t="shared" si="56"/>
        <v>464</v>
      </c>
      <c r="AB156" s="348">
        <f t="shared" si="56"/>
        <v>812.83333333333337</v>
      </c>
      <c r="AC156" s="348">
        <f t="shared" si="56"/>
        <v>980.33333333333337</v>
      </c>
      <c r="AD156" s="348">
        <f t="shared" si="56"/>
        <v>935.5</v>
      </c>
      <c r="AE156" s="348">
        <f t="shared" si="56"/>
        <v>1135.1666666666667</v>
      </c>
      <c r="AF156" s="348">
        <f t="shared" si="56"/>
        <v>1121</v>
      </c>
      <c r="AG156" s="348">
        <f t="shared" si="56"/>
        <v>1094</v>
      </c>
      <c r="AH156" s="348" t="e">
        <f t="shared" si="56"/>
        <v>#DIV/0!</v>
      </c>
      <c r="AI156" s="348" t="e">
        <f t="shared" si="56"/>
        <v>#DIV/0!</v>
      </c>
      <c r="AJ156" s="348" t="e">
        <f t="shared" si="56"/>
        <v>#DIV/0!</v>
      </c>
      <c r="AK156" s="348" t="e">
        <f t="shared" si="56"/>
        <v>#DIV/0!</v>
      </c>
      <c r="AL156" s="348" t="e">
        <f t="shared" si="56"/>
        <v>#DIV/0!</v>
      </c>
      <c r="AM156" s="348" t="e">
        <f t="shared" si="56"/>
        <v>#DIV/0!</v>
      </c>
      <c r="AN156" s="348" t="e">
        <f t="shared" si="56"/>
        <v>#DIV/0!</v>
      </c>
      <c r="AO156" s="348" t="e">
        <f t="shared" si="56"/>
        <v>#DIV/0!</v>
      </c>
      <c r="AP156" s="348" t="e">
        <f t="shared" si="56"/>
        <v>#DIV/0!</v>
      </c>
      <c r="AQ156" s="348" t="e">
        <f t="shared" si="56"/>
        <v>#DIV/0!</v>
      </c>
      <c r="AR156" s="348" t="e">
        <f t="shared" si="56"/>
        <v>#DIV/0!</v>
      </c>
      <c r="AS156" s="348" t="e">
        <f t="shared" si="56"/>
        <v>#DIV/0!</v>
      </c>
      <c r="AT156" s="348" t="e">
        <f t="shared" si="56"/>
        <v>#DIV/0!</v>
      </c>
      <c r="AU156" s="348" t="e">
        <f t="shared" si="56"/>
        <v>#DIV/0!</v>
      </c>
      <c r="AV156" s="348" t="e">
        <f t="shared" si="56"/>
        <v>#DIV/0!</v>
      </c>
      <c r="AW156" s="348" t="e">
        <f t="shared" si="56"/>
        <v>#DIV/0!</v>
      </c>
      <c r="AX156" s="348" t="e">
        <f t="shared" si="56"/>
        <v>#DIV/0!</v>
      </c>
      <c r="AY156" s="348" t="e">
        <f t="shared" si="56"/>
        <v>#DIV/0!</v>
      </c>
      <c r="AZ156" s="348" t="e">
        <f t="shared" si="56"/>
        <v>#DIV/0!</v>
      </c>
      <c r="BA156" s="348" t="e">
        <f t="shared" si="56"/>
        <v>#DIV/0!</v>
      </c>
      <c r="BB156" s="348" t="e">
        <f t="shared" si="56"/>
        <v>#DIV/0!</v>
      </c>
      <c r="BC156" s="348" t="e">
        <f t="shared" si="56"/>
        <v>#DIV/0!</v>
      </c>
      <c r="BD156" s="348" t="e">
        <f t="shared" si="56"/>
        <v>#DIV/0!</v>
      </c>
      <c r="BE156" s="348" t="e">
        <f t="shared" si="56"/>
        <v>#DIV/0!</v>
      </c>
      <c r="BF156" s="348" t="e">
        <f t="shared" si="56"/>
        <v>#DIV/0!</v>
      </c>
      <c r="BG156" s="348" t="e">
        <f t="shared" si="56"/>
        <v>#DIV/0!</v>
      </c>
      <c r="BH156" s="348" t="e">
        <f t="shared" si="56"/>
        <v>#DIV/0!</v>
      </c>
      <c r="BI156" s="348" t="e">
        <f t="shared" si="56"/>
        <v>#DIV/0!</v>
      </c>
      <c r="BJ156" s="348" t="e">
        <f t="shared" si="56"/>
        <v>#DIV/0!</v>
      </c>
      <c r="BK156" s="348" t="e">
        <f t="shared" si="56"/>
        <v>#DIV/0!</v>
      </c>
      <c r="BL156" s="348" t="e">
        <f t="shared" si="56"/>
        <v>#DIV/0!</v>
      </c>
      <c r="BM156" s="348" t="e">
        <f t="shared" si="56"/>
        <v>#DIV/0!</v>
      </c>
      <c r="BN156" s="348" t="e">
        <f t="shared" si="54"/>
        <v>#DIV/0!</v>
      </c>
      <c r="BO156" s="348" t="e">
        <f t="shared" si="55"/>
        <v>#DIV/0!</v>
      </c>
      <c r="BP156" s="348" t="e">
        <f t="shared" si="55"/>
        <v>#DIV/0!</v>
      </c>
      <c r="BQ156" s="348" t="e">
        <f t="shared" si="55"/>
        <v>#DIV/0!</v>
      </c>
      <c r="BR156" s="348" t="e">
        <f t="shared" si="55"/>
        <v>#DIV/0!</v>
      </c>
      <c r="BS156" s="24" t="e">
        <f t="shared" si="55"/>
        <v>#DIV/0!</v>
      </c>
    </row>
    <row r="157" spans="1:193" hidden="1">
      <c r="A157" s="231" t="s">
        <v>245</v>
      </c>
      <c r="B157" s="442">
        <f t="shared" si="56"/>
        <v>693</v>
      </c>
      <c r="C157" s="442">
        <f t="shared" si="56"/>
        <v>691.66666666666663</v>
      </c>
      <c r="D157" s="442">
        <f t="shared" si="56"/>
        <v>508</v>
      </c>
      <c r="E157" s="442">
        <f t="shared" si="56"/>
        <v>304.66666666666669</v>
      </c>
      <c r="F157" s="442">
        <f t="shared" si="56"/>
        <v>312.5</v>
      </c>
      <c r="G157" s="442">
        <f t="shared" si="56"/>
        <v>296</v>
      </c>
      <c r="H157" s="442">
        <f t="shared" si="56"/>
        <v>286.83333333333331</v>
      </c>
      <c r="I157" s="442">
        <f t="shared" si="56"/>
        <v>318.83333333333331</v>
      </c>
      <c r="J157" s="442">
        <f t="shared" si="56"/>
        <v>325.5</v>
      </c>
      <c r="K157" s="442">
        <f t="shared" si="56"/>
        <v>358.66666666666669</v>
      </c>
      <c r="L157" s="442">
        <f t="shared" si="56"/>
        <v>385.66666666666669</v>
      </c>
      <c r="M157" s="442">
        <f t="shared" si="56"/>
        <v>448.16666666666669</v>
      </c>
      <c r="N157" s="442">
        <f t="shared" si="56"/>
        <v>487.16666666666669</v>
      </c>
      <c r="O157" s="442">
        <f t="shared" si="56"/>
        <v>559.33333333333337</v>
      </c>
      <c r="P157" s="442">
        <f t="shared" si="56"/>
        <v>590.83333333333337</v>
      </c>
      <c r="Q157" s="442">
        <f t="shared" si="56"/>
        <v>611.66666666666663</v>
      </c>
      <c r="R157" s="442">
        <f t="shared" si="56"/>
        <v>591</v>
      </c>
      <c r="S157" s="442">
        <f t="shared" si="56"/>
        <v>548.16666666666663</v>
      </c>
      <c r="T157" s="442">
        <f t="shared" si="56"/>
        <v>607</v>
      </c>
      <c r="U157" s="442">
        <f t="shared" si="56"/>
        <v>704.16666666666663</v>
      </c>
      <c r="V157" s="442">
        <f t="shared" si="56"/>
        <v>690.5</v>
      </c>
      <c r="W157" s="442">
        <f t="shared" si="56"/>
        <v>882.83333333333337</v>
      </c>
      <c r="X157" s="442">
        <f t="shared" si="56"/>
        <v>984.83333333333337</v>
      </c>
      <c r="Y157" s="442">
        <f t="shared" si="56"/>
        <v>938.83333333333337</v>
      </c>
      <c r="Z157" s="442">
        <f t="shared" si="56"/>
        <v>910.33333333333337</v>
      </c>
      <c r="AA157" s="442">
        <f t="shared" si="56"/>
        <v>959.83333333333337</v>
      </c>
      <c r="AB157" s="442">
        <f t="shared" si="56"/>
        <v>1100.8333333333333</v>
      </c>
      <c r="AC157" s="442">
        <f t="shared" si="56"/>
        <v>1533.3333333333333</v>
      </c>
      <c r="AD157" s="442">
        <f t="shared" si="56"/>
        <v>1375.1666666666667</v>
      </c>
      <c r="AE157" s="442">
        <f t="shared" si="56"/>
        <v>1525.5</v>
      </c>
      <c r="AF157" s="442">
        <f t="shared" si="56"/>
        <v>1655.6666666666667</v>
      </c>
      <c r="AG157" s="442">
        <f t="shared" si="56"/>
        <v>1979.1666666666667</v>
      </c>
      <c r="AH157" s="442" t="e">
        <f t="shared" si="56"/>
        <v>#DIV/0!</v>
      </c>
      <c r="AI157" s="442" t="e">
        <f t="shared" si="56"/>
        <v>#DIV/0!</v>
      </c>
      <c r="AJ157" s="442" t="e">
        <f t="shared" si="56"/>
        <v>#DIV/0!</v>
      </c>
      <c r="AK157" s="442" t="e">
        <f t="shared" si="56"/>
        <v>#DIV/0!</v>
      </c>
      <c r="AL157" s="442" t="e">
        <f t="shared" si="56"/>
        <v>#DIV/0!</v>
      </c>
      <c r="AM157" s="442" t="e">
        <f t="shared" si="56"/>
        <v>#DIV/0!</v>
      </c>
      <c r="AN157" s="442" t="e">
        <f t="shared" si="56"/>
        <v>#DIV/0!</v>
      </c>
      <c r="AO157" s="442" t="e">
        <f t="shared" si="56"/>
        <v>#DIV/0!</v>
      </c>
      <c r="AP157" s="442" t="e">
        <f t="shared" si="56"/>
        <v>#DIV/0!</v>
      </c>
      <c r="AQ157" s="442" t="e">
        <f t="shared" si="56"/>
        <v>#DIV/0!</v>
      </c>
      <c r="AR157" s="442" t="e">
        <f t="shared" si="56"/>
        <v>#DIV/0!</v>
      </c>
      <c r="AS157" s="442" t="e">
        <f t="shared" si="56"/>
        <v>#DIV/0!</v>
      </c>
      <c r="AT157" s="442" t="e">
        <f t="shared" si="56"/>
        <v>#DIV/0!</v>
      </c>
      <c r="AU157" s="442" t="e">
        <f t="shared" si="56"/>
        <v>#DIV/0!</v>
      </c>
      <c r="AV157" s="442" t="e">
        <f t="shared" si="56"/>
        <v>#DIV/0!</v>
      </c>
      <c r="AW157" s="442" t="e">
        <f t="shared" si="56"/>
        <v>#DIV/0!</v>
      </c>
      <c r="AX157" s="442" t="e">
        <f t="shared" si="56"/>
        <v>#DIV/0!</v>
      </c>
      <c r="AY157" s="442" t="e">
        <f t="shared" si="56"/>
        <v>#DIV/0!</v>
      </c>
      <c r="AZ157" s="442" t="e">
        <f t="shared" si="56"/>
        <v>#DIV/0!</v>
      </c>
      <c r="BA157" s="442" t="e">
        <f t="shared" si="56"/>
        <v>#DIV/0!</v>
      </c>
      <c r="BB157" s="442" t="e">
        <f t="shared" si="56"/>
        <v>#DIV/0!</v>
      </c>
      <c r="BC157" s="442" t="e">
        <f t="shared" si="56"/>
        <v>#DIV/0!</v>
      </c>
      <c r="BD157" s="442" t="e">
        <f t="shared" si="56"/>
        <v>#DIV/0!</v>
      </c>
      <c r="BE157" s="442" t="e">
        <f t="shared" si="56"/>
        <v>#DIV/0!</v>
      </c>
      <c r="BF157" s="442" t="e">
        <f t="shared" si="56"/>
        <v>#DIV/0!</v>
      </c>
      <c r="BG157" s="442" t="e">
        <f t="shared" si="56"/>
        <v>#DIV/0!</v>
      </c>
      <c r="BH157" s="442" t="e">
        <f t="shared" si="56"/>
        <v>#DIV/0!</v>
      </c>
      <c r="BI157" s="442" t="e">
        <f t="shared" si="56"/>
        <v>#DIV/0!</v>
      </c>
      <c r="BJ157" s="442" t="e">
        <f t="shared" si="56"/>
        <v>#DIV/0!</v>
      </c>
      <c r="BK157" s="442" t="e">
        <f t="shared" si="56"/>
        <v>#DIV/0!</v>
      </c>
      <c r="BL157" s="442" t="e">
        <f t="shared" si="56"/>
        <v>#DIV/0!</v>
      </c>
      <c r="BM157" s="442" t="e">
        <f t="shared" si="56"/>
        <v>#DIV/0!</v>
      </c>
      <c r="BN157" s="442" t="e">
        <f t="shared" si="54"/>
        <v>#DIV/0!</v>
      </c>
      <c r="BO157" s="442" t="e">
        <f t="shared" si="55"/>
        <v>#DIV/0!</v>
      </c>
      <c r="BP157" s="442" t="e">
        <f t="shared" si="55"/>
        <v>#DIV/0!</v>
      </c>
      <c r="BQ157" s="442" t="e">
        <f t="shared" si="55"/>
        <v>#DIV/0!</v>
      </c>
      <c r="BR157" s="442" t="e">
        <f t="shared" si="55"/>
        <v>#DIV/0!</v>
      </c>
      <c r="BS157" s="431" t="e">
        <f t="shared" si="55"/>
        <v>#DIV/0!</v>
      </c>
    </row>
    <row r="158" spans="1:193" hidden="1">
      <c r="A158" s="231" t="s">
        <v>242</v>
      </c>
      <c r="B158" s="348">
        <f t="shared" si="56"/>
        <v>981</v>
      </c>
      <c r="C158" s="348">
        <f t="shared" si="56"/>
        <v>1037</v>
      </c>
      <c r="D158" s="348">
        <f t="shared" si="56"/>
        <v>1082.6666666666667</v>
      </c>
      <c r="E158" s="348">
        <f t="shared" si="56"/>
        <v>1118.6666666666667</v>
      </c>
      <c r="F158" s="348">
        <f t="shared" si="56"/>
        <v>1070.8333333333333</v>
      </c>
      <c r="G158" s="348">
        <f t="shared" si="56"/>
        <v>1116.6666666666667</v>
      </c>
      <c r="H158" s="348">
        <f t="shared" si="56"/>
        <v>1310</v>
      </c>
      <c r="I158" s="348">
        <f t="shared" si="56"/>
        <v>1484.3333333333333</v>
      </c>
      <c r="J158" s="348">
        <f t="shared" si="56"/>
        <v>1483.6666666666667</v>
      </c>
      <c r="K158" s="348">
        <f t="shared" si="56"/>
        <v>1472.6666666666667</v>
      </c>
      <c r="L158" s="348">
        <f t="shared" si="56"/>
        <v>1494</v>
      </c>
      <c r="M158" s="348">
        <f t="shared" si="56"/>
        <v>1738.3333333333333</v>
      </c>
      <c r="N158" s="348">
        <f t="shared" si="56"/>
        <v>1700.1666666666667</v>
      </c>
      <c r="O158" s="348">
        <f t="shared" si="56"/>
        <v>2027.3333333333333</v>
      </c>
      <c r="P158" s="348">
        <f t="shared" si="56"/>
        <v>2155.3333333333335</v>
      </c>
      <c r="Q158" s="348">
        <f t="shared" si="56"/>
        <v>2280.5</v>
      </c>
      <c r="R158" s="348">
        <f t="shared" si="56"/>
        <v>1461.8333333333333</v>
      </c>
      <c r="S158" s="348">
        <f t="shared" si="56"/>
        <v>1293.6666666666667</v>
      </c>
      <c r="T158" s="348">
        <f t="shared" si="56"/>
        <v>1378</v>
      </c>
      <c r="U158" s="348">
        <f t="shared" si="56"/>
        <v>1627.8333333333333</v>
      </c>
      <c r="V158" s="348">
        <f t="shared" si="56"/>
        <v>1744.5</v>
      </c>
      <c r="W158" s="348">
        <f t="shared" si="56"/>
        <v>2140.5</v>
      </c>
      <c r="X158" s="348">
        <f t="shared" si="56"/>
        <v>2326.1666666666665</v>
      </c>
      <c r="Y158" s="348">
        <f t="shared" si="56"/>
        <v>2588.8333333333335</v>
      </c>
      <c r="Z158" s="348">
        <f t="shared" si="56"/>
        <v>2193.1666666666665</v>
      </c>
      <c r="AA158" s="348">
        <f t="shared" si="56"/>
        <v>1618.8333333333333</v>
      </c>
      <c r="AB158" s="348">
        <f t="shared" si="56"/>
        <v>1527.5</v>
      </c>
      <c r="AC158" s="348">
        <f t="shared" si="56"/>
        <v>1499</v>
      </c>
      <c r="AD158" s="348">
        <f t="shared" si="56"/>
        <v>1326.1666666666667</v>
      </c>
      <c r="AE158" s="348">
        <f t="shared" si="56"/>
        <v>1061.6666666666667</v>
      </c>
      <c r="AF158" s="348">
        <f t="shared" si="56"/>
        <v>914.83333333333337</v>
      </c>
      <c r="AG158" s="348">
        <f t="shared" si="56"/>
        <v>831.16666666666663</v>
      </c>
      <c r="AH158" s="348" t="e">
        <f t="shared" si="56"/>
        <v>#DIV/0!</v>
      </c>
      <c r="AI158" s="348" t="e">
        <f t="shared" si="56"/>
        <v>#DIV/0!</v>
      </c>
      <c r="AJ158" s="348" t="e">
        <f t="shared" si="56"/>
        <v>#DIV/0!</v>
      </c>
      <c r="AK158" s="348" t="e">
        <f t="shared" si="56"/>
        <v>#DIV/0!</v>
      </c>
      <c r="AL158" s="348" t="e">
        <f t="shared" si="56"/>
        <v>#DIV/0!</v>
      </c>
      <c r="AM158" s="348" t="e">
        <f t="shared" si="56"/>
        <v>#DIV/0!</v>
      </c>
      <c r="AN158" s="348" t="e">
        <f t="shared" si="56"/>
        <v>#DIV/0!</v>
      </c>
      <c r="AO158" s="348" t="e">
        <f t="shared" si="56"/>
        <v>#DIV/0!</v>
      </c>
      <c r="AP158" s="348" t="e">
        <f t="shared" si="56"/>
        <v>#DIV/0!</v>
      </c>
      <c r="AQ158" s="348" t="e">
        <f t="shared" si="56"/>
        <v>#DIV/0!</v>
      </c>
      <c r="AR158" s="348" t="e">
        <f t="shared" si="56"/>
        <v>#DIV/0!</v>
      </c>
      <c r="AS158" s="348" t="e">
        <f t="shared" si="56"/>
        <v>#DIV/0!</v>
      </c>
      <c r="AT158" s="348" t="e">
        <f t="shared" si="56"/>
        <v>#DIV/0!</v>
      </c>
      <c r="AU158" s="348" t="e">
        <f t="shared" si="56"/>
        <v>#DIV/0!</v>
      </c>
      <c r="AV158" s="348" t="e">
        <f t="shared" si="56"/>
        <v>#DIV/0!</v>
      </c>
      <c r="AW158" s="348" t="e">
        <f t="shared" si="56"/>
        <v>#DIV/0!</v>
      </c>
      <c r="AX158" s="348" t="e">
        <f t="shared" si="56"/>
        <v>#DIV/0!</v>
      </c>
      <c r="AY158" s="348" t="e">
        <f t="shared" si="56"/>
        <v>#DIV/0!</v>
      </c>
      <c r="AZ158" s="348" t="e">
        <f t="shared" si="56"/>
        <v>#DIV/0!</v>
      </c>
      <c r="BA158" s="348" t="e">
        <f t="shared" si="56"/>
        <v>#DIV/0!</v>
      </c>
      <c r="BB158" s="348" t="e">
        <f t="shared" si="56"/>
        <v>#DIV/0!</v>
      </c>
      <c r="BC158" s="348" t="e">
        <f t="shared" si="56"/>
        <v>#DIV/0!</v>
      </c>
      <c r="BD158" s="348" t="e">
        <f t="shared" si="56"/>
        <v>#DIV/0!</v>
      </c>
      <c r="BE158" s="348" t="e">
        <f t="shared" si="56"/>
        <v>#DIV/0!</v>
      </c>
      <c r="BF158" s="348" t="e">
        <f t="shared" si="56"/>
        <v>#DIV/0!</v>
      </c>
      <c r="BG158" s="348" t="e">
        <f t="shared" si="56"/>
        <v>#DIV/0!</v>
      </c>
      <c r="BH158" s="348" t="e">
        <f t="shared" si="56"/>
        <v>#DIV/0!</v>
      </c>
      <c r="BI158" s="348" t="e">
        <f t="shared" si="56"/>
        <v>#DIV/0!</v>
      </c>
      <c r="BJ158" s="348" t="e">
        <f t="shared" si="56"/>
        <v>#DIV/0!</v>
      </c>
      <c r="BK158" s="348" t="e">
        <f t="shared" si="56"/>
        <v>#DIV/0!</v>
      </c>
      <c r="BL158" s="348" t="e">
        <f t="shared" si="56"/>
        <v>#DIV/0!</v>
      </c>
      <c r="BM158" s="348" t="e">
        <f t="shared" ref="BM158" si="57">AVERAGEIFS($B139:$XX139,$B$63:$XX$63,RIGHT(LEFT(BM$64,2),1),$B$62:$XX$62,RIGHT(BM$64,4))</f>
        <v>#DIV/0!</v>
      </c>
      <c r="BN158" s="348" t="e">
        <f t="shared" si="54"/>
        <v>#DIV/0!</v>
      </c>
      <c r="BO158" s="348" t="e">
        <f t="shared" si="55"/>
        <v>#DIV/0!</v>
      </c>
      <c r="BP158" s="348" t="e">
        <f t="shared" si="55"/>
        <v>#DIV/0!</v>
      </c>
      <c r="BQ158" s="348" t="e">
        <f t="shared" si="55"/>
        <v>#DIV/0!</v>
      </c>
      <c r="BR158" s="348" t="e">
        <f t="shared" si="55"/>
        <v>#DIV/0!</v>
      </c>
      <c r="BS158" s="24" t="e">
        <f t="shared" si="55"/>
        <v>#DIV/0!</v>
      </c>
    </row>
    <row r="159" spans="1:193" hidden="1">
      <c r="A159" s="231" t="s">
        <v>15</v>
      </c>
      <c r="B159" s="442">
        <f t="shared" ref="B159:BM162" si="58">AVERAGEIFS($B140:$XX140,$B$63:$XX$63,RIGHT(LEFT(B$64,2),1),$B$62:$XX$62,RIGHT(B$64,4))</f>
        <v>12033.166666666666</v>
      </c>
      <c r="C159" s="442">
        <f t="shared" si="58"/>
        <v>12428.333333333334</v>
      </c>
      <c r="D159" s="442">
        <f t="shared" si="58"/>
        <v>12655.666666666666</v>
      </c>
      <c r="E159" s="442">
        <f t="shared" si="58"/>
        <v>12876.333333333334</v>
      </c>
      <c r="F159" s="442">
        <f t="shared" si="58"/>
        <v>12699.833333333334</v>
      </c>
      <c r="G159" s="442">
        <f t="shared" si="58"/>
        <v>13054.833333333334</v>
      </c>
      <c r="H159" s="442">
        <f t="shared" si="58"/>
        <v>13406.5</v>
      </c>
      <c r="I159" s="442">
        <f t="shared" si="58"/>
        <v>12902.833333333334</v>
      </c>
      <c r="J159" s="442">
        <f t="shared" si="58"/>
        <v>12257.5</v>
      </c>
      <c r="K159" s="442">
        <f t="shared" si="58"/>
        <v>12147.666666666666</v>
      </c>
      <c r="L159" s="442">
        <f t="shared" si="58"/>
        <v>11914.833333333334</v>
      </c>
      <c r="M159" s="442">
        <f t="shared" si="58"/>
        <v>12763</v>
      </c>
      <c r="N159" s="442">
        <f t="shared" si="58"/>
        <v>13639.333333333334</v>
      </c>
      <c r="O159" s="442">
        <f t="shared" si="58"/>
        <v>13841.5</v>
      </c>
      <c r="P159" s="442">
        <f t="shared" si="58"/>
        <v>14247.666666666666</v>
      </c>
      <c r="Q159" s="442">
        <f t="shared" si="58"/>
        <v>14740.333333333334</v>
      </c>
      <c r="R159" s="442">
        <f t="shared" si="58"/>
        <v>16541</v>
      </c>
      <c r="S159" s="442">
        <f t="shared" si="58"/>
        <v>16662.666666666668</v>
      </c>
      <c r="T159" s="442">
        <f t="shared" si="58"/>
        <v>17284.833333333332</v>
      </c>
      <c r="U159" s="442">
        <f t="shared" si="58"/>
        <v>18483.833333333332</v>
      </c>
      <c r="V159" s="442">
        <f t="shared" si="58"/>
        <v>19427.666666666668</v>
      </c>
      <c r="W159" s="442">
        <f t="shared" si="58"/>
        <v>21892.833333333332</v>
      </c>
      <c r="X159" s="442">
        <f t="shared" si="58"/>
        <v>22881.5</v>
      </c>
      <c r="Y159" s="442">
        <f t="shared" si="58"/>
        <v>22699.333333333332</v>
      </c>
      <c r="Z159" s="442">
        <f t="shared" si="58"/>
        <v>21785.166666666668</v>
      </c>
      <c r="AA159" s="442">
        <f t="shared" si="58"/>
        <v>19349.333333333332</v>
      </c>
      <c r="AB159" s="442">
        <f t="shared" si="58"/>
        <v>17836.666666666668</v>
      </c>
      <c r="AC159" s="442">
        <f t="shared" si="58"/>
        <v>18875.5</v>
      </c>
      <c r="AD159" s="442">
        <f t="shared" si="58"/>
        <v>20278.833333333332</v>
      </c>
      <c r="AE159" s="442">
        <f t="shared" si="58"/>
        <v>22466.666666666668</v>
      </c>
      <c r="AF159" s="442">
        <f t="shared" si="58"/>
        <v>24656.666666666668</v>
      </c>
      <c r="AG159" s="442">
        <f t="shared" si="58"/>
        <v>26333</v>
      </c>
      <c r="AH159" s="442" t="e">
        <f t="shared" si="58"/>
        <v>#DIV/0!</v>
      </c>
      <c r="AI159" s="442" t="e">
        <f t="shared" si="58"/>
        <v>#DIV/0!</v>
      </c>
      <c r="AJ159" s="442" t="e">
        <f t="shared" si="58"/>
        <v>#DIV/0!</v>
      </c>
      <c r="AK159" s="442" t="e">
        <f t="shared" si="58"/>
        <v>#DIV/0!</v>
      </c>
      <c r="AL159" s="442" t="e">
        <f t="shared" si="58"/>
        <v>#DIV/0!</v>
      </c>
      <c r="AM159" s="442" t="e">
        <f t="shared" si="58"/>
        <v>#DIV/0!</v>
      </c>
      <c r="AN159" s="442" t="e">
        <f t="shared" si="58"/>
        <v>#DIV/0!</v>
      </c>
      <c r="AO159" s="442" t="e">
        <f t="shared" si="58"/>
        <v>#DIV/0!</v>
      </c>
      <c r="AP159" s="442" t="e">
        <f t="shared" si="58"/>
        <v>#DIV/0!</v>
      </c>
      <c r="AQ159" s="442" t="e">
        <f t="shared" si="58"/>
        <v>#DIV/0!</v>
      </c>
      <c r="AR159" s="442" t="e">
        <f t="shared" si="58"/>
        <v>#DIV/0!</v>
      </c>
      <c r="AS159" s="442" t="e">
        <f t="shared" si="58"/>
        <v>#DIV/0!</v>
      </c>
      <c r="AT159" s="442" t="e">
        <f t="shared" si="58"/>
        <v>#DIV/0!</v>
      </c>
      <c r="AU159" s="442" t="e">
        <f t="shared" si="58"/>
        <v>#DIV/0!</v>
      </c>
      <c r="AV159" s="442" t="e">
        <f t="shared" si="58"/>
        <v>#DIV/0!</v>
      </c>
      <c r="AW159" s="442" t="e">
        <f t="shared" si="58"/>
        <v>#DIV/0!</v>
      </c>
      <c r="AX159" s="442" t="e">
        <f t="shared" si="58"/>
        <v>#DIV/0!</v>
      </c>
      <c r="AY159" s="442" t="e">
        <f t="shared" si="58"/>
        <v>#DIV/0!</v>
      </c>
      <c r="AZ159" s="442" t="e">
        <f t="shared" si="58"/>
        <v>#DIV/0!</v>
      </c>
      <c r="BA159" s="442" t="e">
        <f t="shared" si="58"/>
        <v>#DIV/0!</v>
      </c>
      <c r="BB159" s="442" t="e">
        <f t="shared" si="58"/>
        <v>#DIV/0!</v>
      </c>
      <c r="BC159" s="442" t="e">
        <f t="shared" si="58"/>
        <v>#DIV/0!</v>
      </c>
      <c r="BD159" s="442" t="e">
        <f t="shared" si="58"/>
        <v>#DIV/0!</v>
      </c>
      <c r="BE159" s="442" t="e">
        <f t="shared" si="58"/>
        <v>#DIV/0!</v>
      </c>
      <c r="BF159" s="442" t="e">
        <f t="shared" si="58"/>
        <v>#DIV/0!</v>
      </c>
      <c r="BG159" s="442" t="e">
        <f t="shared" si="58"/>
        <v>#DIV/0!</v>
      </c>
      <c r="BH159" s="442" t="e">
        <f t="shared" si="58"/>
        <v>#DIV/0!</v>
      </c>
      <c r="BI159" s="442" t="e">
        <f t="shared" si="58"/>
        <v>#DIV/0!</v>
      </c>
      <c r="BJ159" s="442" t="e">
        <f t="shared" si="58"/>
        <v>#DIV/0!</v>
      </c>
      <c r="BK159" s="442" t="e">
        <f t="shared" si="58"/>
        <v>#DIV/0!</v>
      </c>
      <c r="BL159" s="442" t="e">
        <f t="shared" si="58"/>
        <v>#DIV/0!</v>
      </c>
      <c r="BM159" s="442" t="e">
        <f t="shared" si="58"/>
        <v>#DIV/0!</v>
      </c>
      <c r="BN159" s="442" t="e">
        <f t="shared" si="54"/>
        <v>#DIV/0!</v>
      </c>
      <c r="BO159" s="442" t="e">
        <f t="shared" si="55"/>
        <v>#DIV/0!</v>
      </c>
      <c r="BP159" s="442" t="e">
        <f t="shared" si="55"/>
        <v>#DIV/0!</v>
      </c>
      <c r="BQ159" s="442" t="e">
        <f t="shared" si="55"/>
        <v>#DIV/0!</v>
      </c>
      <c r="BR159" s="442" t="e">
        <f t="shared" si="55"/>
        <v>#DIV/0!</v>
      </c>
      <c r="BS159" s="431" t="e">
        <f t="shared" si="55"/>
        <v>#DIV/0!</v>
      </c>
    </row>
    <row r="160" spans="1:193" hidden="1">
      <c r="A160" s="231" t="s">
        <v>345</v>
      </c>
      <c r="B160" s="348">
        <f t="shared" si="58"/>
        <v>2340.1666666666665</v>
      </c>
      <c r="C160" s="348">
        <f t="shared" si="58"/>
        <v>2179.3333333333335</v>
      </c>
      <c r="D160" s="348">
        <f t="shared" si="58"/>
        <v>2309.5</v>
      </c>
      <c r="E160" s="348">
        <f t="shared" si="58"/>
        <v>1973.5</v>
      </c>
      <c r="F160" s="348">
        <f t="shared" si="58"/>
        <v>2127</v>
      </c>
      <c r="G160" s="348">
        <f t="shared" si="58"/>
        <v>2292</v>
      </c>
      <c r="H160" s="348">
        <f t="shared" si="58"/>
        <v>2398.6666666666665</v>
      </c>
      <c r="I160" s="348">
        <f t="shared" si="58"/>
        <v>2419</v>
      </c>
      <c r="J160" s="348">
        <f t="shared" si="58"/>
        <v>2642.8333333333335</v>
      </c>
      <c r="K160" s="348">
        <f t="shared" si="58"/>
        <v>2613.6666666666665</v>
      </c>
      <c r="L160" s="348">
        <f t="shared" si="58"/>
        <v>3048</v>
      </c>
      <c r="M160" s="348">
        <f t="shared" si="58"/>
        <v>2753.8333333333335</v>
      </c>
      <c r="N160" s="348">
        <f t="shared" si="58"/>
        <v>3001.6666666666665</v>
      </c>
      <c r="O160" s="348">
        <f t="shared" si="58"/>
        <v>2678.1666666666665</v>
      </c>
      <c r="P160" s="348">
        <f t="shared" si="58"/>
        <v>2765.8333333333335</v>
      </c>
      <c r="Q160" s="348">
        <f t="shared" si="58"/>
        <v>2610.6666666666665</v>
      </c>
      <c r="R160" s="348">
        <f t="shared" si="58"/>
        <v>2348.5</v>
      </c>
      <c r="S160" s="348">
        <f t="shared" si="58"/>
        <v>1837.6666666666667</v>
      </c>
      <c r="T160" s="348">
        <f t="shared" si="58"/>
        <v>1784.1666666666667</v>
      </c>
      <c r="U160" s="348">
        <f t="shared" si="58"/>
        <v>1782.6666666666667</v>
      </c>
      <c r="V160" s="348">
        <f t="shared" si="58"/>
        <v>1958.5</v>
      </c>
      <c r="W160" s="348">
        <f t="shared" si="58"/>
        <v>2080.5</v>
      </c>
      <c r="X160" s="348">
        <f t="shared" si="58"/>
        <v>2321.3333333333335</v>
      </c>
      <c r="Y160" s="348">
        <f t="shared" si="58"/>
        <v>2083.8333333333335</v>
      </c>
      <c r="Z160" s="348">
        <f t="shared" si="58"/>
        <v>2732.8333333333335</v>
      </c>
      <c r="AA160" s="348">
        <f t="shared" si="58"/>
        <v>2268.1666666666665</v>
      </c>
      <c r="AB160" s="348">
        <f t="shared" si="58"/>
        <v>2336.5</v>
      </c>
      <c r="AC160" s="348">
        <f t="shared" si="58"/>
        <v>2138</v>
      </c>
      <c r="AD160" s="348">
        <f t="shared" si="58"/>
        <v>2343</v>
      </c>
      <c r="AE160" s="348">
        <f t="shared" si="58"/>
        <v>2259.5</v>
      </c>
      <c r="AF160" s="348">
        <f t="shared" si="58"/>
        <v>2412</v>
      </c>
      <c r="AG160" s="348">
        <f t="shared" si="58"/>
        <v>2381</v>
      </c>
      <c r="AH160" s="348" t="e">
        <f t="shared" si="58"/>
        <v>#DIV/0!</v>
      </c>
      <c r="AI160" s="348" t="e">
        <f t="shared" si="58"/>
        <v>#DIV/0!</v>
      </c>
      <c r="AJ160" s="348" t="e">
        <f t="shared" si="58"/>
        <v>#DIV/0!</v>
      </c>
      <c r="AK160" s="348" t="e">
        <f t="shared" si="58"/>
        <v>#DIV/0!</v>
      </c>
      <c r="AL160" s="348" t="e">
        <f t="shared" si="58"/>
        <v>#DIV/0!</v>
      </c>
      <c r="AM160" s="348" t="e">
        <f t="shared" si="58"/>
        <v>#DIV/0!</v>
      </c>
      <c r="AN160" s="348" t="e">
        <f t="shared" si="58"/>
        <v>#DIV/0!</v>
      </c>
      <c r="AO160" s="348" t="e">
        <f t="shared" si="58"/>
        <v>#DIV/0!</v>
      </c>
      <c r="AP160" s="348" t="e">
        <f t="shared" si="58"/>
        <v>#DIV/0!</v>
      </c>
      <c r="AQ160" s="348" t="e">
        <f t="shared" si="58"/>
        <v>#DIV/0!</v>
      </c>
      <c r="AR160" s="348" t="e">
        <f t="shared" si="58"/>
        <v>#DIV/0!</v>
      </c>
      <c r="AS160" s="348" t="e">
        <f t="shared" si="58"/>
        <v>#DIV/0!</v>
      </c>
      <c r="AT160" s="348" t="e">
        <f t="shared" si="58"/>
        <v>#DIV/0!</v>
      </c>
      <c r="AU160" s="348" t="e">
        <f t="shared" si="58"/>
        <v>#DIV/0!</v>
      </c>
      <c r="AV160" s="348" t="e">
        <f t="shared" si="58"/>
        <v>#DIV/0!</v>
      </c>
      <c r="AW160" s="348" t="e">
        <f t="shared" si="58"/>
        <v>#DIV/0!</v>
      </c>
      <c r="AX160" s="348" t="e">
        <f t="shared" si="58"/>
        <v>#DIV/0!</v>
      </c>
      <c r="AY160" s="348" t="e">
        <f t="shared" si="58"/>
        <v>#DIV/0!</v>
      </c>
      <c r="AZ160" s="348" t="e">
        <f t="shared" si="58"/>
        <v>#DIV/0!</v>
      </c>
      <c r="BA160" s="348" t="e">
        <f t="shared" si="58"/>
        <v>#DIV/0!</v>
      </c>
      <c r="BB160" s="348" t="e">
        <f t="shared" si="58"/>
        <v>#DIV/0!</v>
      </c>
      <c r="BC160" s="348" t="e">
        <f t="shared" si="58"/>
        <v>#DIV/0!</v>
      </c>
      <c r="BD160" s="348" t="e">
        <f t="shared" si="58"/>
        <v>#DIV/0!</v>
      </c>
      <c r="BE160" s="348" t="e">
        <f t="shared" si="58"/>
        <v>#DIV/0!</v>
      </c>
      <c r="BF160" s="348" t="e">
        <f t="shared" si="58"/>
        <v>#DIV/0!</v>
      </c>
      <c r="BG160" s="348" t="e">
        <f t="shared" si="58"/>
        <v>#DIV/0!</v>
      </c>
      <c r="BH160" s="348" t="e">
        <f t="shared" si="58"/>
        <v>#DIV/0!</v>
      </c>
      <c r="BI160" s="348" t="e">
        <f t="shared" si="58"/>
        <v>#DIV/0!</v>
      </c>
      <c r="BJ160" s="348" t="e">
        <f t="shared" si="58"/>
        <v>#DIV/0!</v>
      </c>
      <c r="BK160" s="348" t="e">
        <f t="shared" si="58"/>
        <v>#DIV/0!</v>
      </c>
      <c r="BL160" s="348" t="e">
        <f t="shared" si="58"/>
        <v>#DIV/0!</v>
      </c>
      <c r="BM160" s="348" t="e">
        <f t="shared" si="58"/>
        <v>#DIV/0!</v>
      </c>
      <c r="BN160" s="348" t="e">
        <f t="shared" si="54"/>
        <v>#DIV/0!</v>
      </c>
      <c r="BO160" s="348" t="e">
        <f t="shared" si="55"/>
        <v>#DIV/0!</v>
      </c>
      <c r="BP160" s="348" t="e">
        <f t="shared" si="55"/>
        <v>#DIV/0!</v>
      </c>
      <c r="BQ160" s="348" t="e">
        <f t="shared" si="55"/>
        <v>#DIV/0!</v>
      </c>
      <c r="BR160" s="348" t="e">
        <f t="shared" si="55"/>
        <v>#DIV/0!</v>
      </c>
      <c r="BS160" s="24" t="e">
        <f t="shared" si="55"/>
        <v>#DIV/0!</v>
      </c>
    </row>
    <row r="161" spans="1:193" hidden="1">
      <c r="A161" s="231" t="s">
        <v>239</v>
      </c>
      <c r="B161" s="442">
        <f t="shared" si="58"/>
        <v>8644.8333333333339</v>
      </c>
      <c r="C161" s="442">
        <f t="shared" si="58"/>
        <v>8856</v>
      </c>
      <c r="D161" s="442">
        <f t="shared" si="58"/>
        <v>8420.6666666666661</v>
      </c>
      <c r="E161" s="442">
        <f t="shared" si="58"/>
        <v>10032.166666666666</v>
      </c>
      <c r="F161" s="442">
        <f t="shared" si="58"/>
        <v>10498.833333333334</v>
      </c>
      <c r="G161" s="442">
        <f t="shared" si="58"/>
        <v>11262.333333333334</v>
      </c>
      <c r="H161" s="442">
        <f t="shared" si="58"/>
        <v>12030.333333333334</v>
      </c>
      <c r="I161" s="442">
        <f t="shared" si="58"/>
        <v>12326</v>
      </c>
      <c r="J161" s="442">
        <f t="shared" si="58"/>
        <v>12591.5</v>
      </c>
      <c r="K161" s="442">
        <f t="shared" si="58"/>
        <v>13899.333333333334</v>
      </c>
      <c r="L161" s="442">
        <f t="shared" si="58"/>
        <v>14930</v>
      </c>
      <c r="M161" s="442">
        <f t="shared" si="58"/>
        <v>16223</v>
      </c>
      <c r="N161" s="442">
        <f t="shared" si="58"/>
        <v>16984.666666666668</v>
      </c>
      <c r="O161" s="442">
        <f t="shared" si="58"/>
        <v>18613</v>
      </c>
      <c r="P161" s="442">
        <f t="shared" si="58"/>
        <v>19282.666666666668</v>
      </c>
      <c r="Q161" s="442">
        <f t="shared" si="58"/>
        <v>25425.5</v>
      </c>
      <c r="R161" s="442">
        <f t="shared" si="58"/>
        <v>24911.333333333332</v>
      </c>
      <c r="S161" s="442">
        <f t="shared" si="58"/>
        <v>25088.833333333332</v>
      </c>
      <c r="T161" s="442">
        <f t="shared" si="58"/>
        <v>25671.666666666668</v>
      </c>
      <c r="U161" s="442">
        <f t="shared" si="58"/>
        <v>29349.833333333332</v>
      </c>
      <c r="V161" s="442">
        <f t="shared" si="58"/>
        <v>31145.333333333332</v>
      </c>
      <c r="W161" s="442">
        <f t="shared" si="58"/>
        <v>35899</v>
      </c>
      <c r="X161" s="442">
        <f t="shared" si="58"/>
        <v>46486</v>
      </c>
      <c r="Y161" s="442">
        <f t="shared" si="58"/>
        <v>52204.666666666664</v>
      </c>
      <c r="Z161" s="442">
        <f t="shared" si="58"/>
        <v>57531.333333333336</v>
      </c>
      <c r="AA161" s="442">
        <f t="shared" si="58"/>
        <v>63053.5</v>
      </c>
      <c r="AB161" s="442">
        <f t="shared" si="58"/>
        <v>61433.666666666664</v>
      </c>
      <c r="AC161" s="442">
        <f t="shared" si="58"/>
        <v>62462.5</v>
      </c>
      <c r="AD161" s="442">
        <f t="shared" si="58"/>
        <v>55512.833333333336</v>
      </c>
      <c r="AE161" s="442">
        <f t="shared" si="58"/>
        <v>54382.166666666664</v>
      </c>
      <c r="AF161" s="442">
        <f t="shared" si="58"/>
        <v>51816.166666666664</v>
      </c>
      <c r="AG161" s="442">
        <f t="shared" si="58"/>
        <v>52814.666666666664</v>
      </c>
      <c r="AH161" s="442" t="e">
        <f t="shared" si="58"/>
        <v>#DIV/0!</v>
      </c>
      <c r="AI161" s="442" t="e">
        <f t="shared" si="58"/>
        <v>#DIV/0!</v>
      </c>
      <c r="AJ161" s="442" t="e">
        <f t="shared" si="58"/>
        <v>#DIV/0!</v>
      </c>
      <c r="AK161" s="442" t="e">
        <f t="shared" si="58"/>
        <v>#DIV/0!</v>
      </c>
      <c r="AL161" s="442" t="e">
        <f t="shared" si="58"/>
        <v>#DIV/0!</v>
      </c>
      <c r="AM161" s="442" t="e">
        <f t="shared" si="58"/>
        <v>#DIV/0!</v>
      </c>
      <c r="AN161" s="442" t="e">
        <f t="shared" si="58"/>
        <v>#DIV/0!</v>
      </c>
      <c r="AO161" s="442" t="e">
        <f t="shared" si="58"/>
        <v>#DIV/0!</v>
      </c>
      <c r="AP161" s="442" t="e">
        <f t="shared" si="58"/>
        <v>#DIV/0!</v>
      </c>
      <c r="AQ161" s="442" t="e">
        <f t="shared" si="58"/>
        <v>#DIV/0!</v>
      </c>
      <c r="AR161" s="442" t="e">
        <f t="shared" si="58"/>
        <v>#DIV/0!</v>
      </c>
      <c r="AS161" s="442" t="e">
        <f t="shared" si="58"/>
        <v>#DIV/0!</v>
      </c>
      <c r="AT161" s="442" t="e">
        <f t="shared" si="58"/>
        <v>#DIV/0!</v>
      </c>
      <c r="AU161" s="442" t="e">
        <f t="shared" si="58"/>
        <v>#DIV/0!</v>
      </c>
      <c r="AV161" s="442" t="e">
        <f t="shared" si="58"/>
        <v>#DIV/0!</v>
      </c>
      <c r="AW161" s="442" t="e">
        <f t="shared" si="58"/>
        <v>#DIV/0!</v>
      </c>
      <c r="AX161" s="442" t="e">
        <f t="shared" si="58"/>
        <v>#DIV/0!</v>
      </c>
      <c r="AY161" s="442" t="e">
        <f t="shared" si="58"/>
        <v>#DIV/0!</v>
      </c>
      <c r="AZ161" s="442" t="e">
        <f t="shared" si="58"/>
        <v>#DIV/0!</v>
      </c>
      <c r="BA161" s="442" t="e">
        <f t="shared" si="58"/>
        <v>#DIV/0!</v>
      </c>
      <c r="BB161" s="442" t="e">
        <f t="shared" si="58"/>
        <v>#DIV/0!</v>
      </c>
      <c r="BC161" s="442" t="e">
        <f t="shared" si="58"/>
        <v>#DIV/0!</v>
      </c>
      <c r="BD161" s="442" t="e">
        <f t="shared" si="58"/>
        <v>#DIV/0!</v>
      </c>
      <c r="BE161" s="442" t="e">
        <f t="shared" si="58"/>
        <v>#DIV/0!</v>
      </c>
      <c r="BF161" s="442" t="e">
        <f t="shared" si="58"/>
        <v>#DIV/0!</v>
      </c>
      <c r="BG161" s="442" t="e">
        <f t="shared" si="58"/>
        <v>#DIV/0!</v>
      </c>
      <c r="BH161" s="442" t="e">
        <f t="shared" si="58"/>
        <v>#DIV/0!</v>
      </c>
      <c r="BI161" s="442" t="e">
        <f t="shared" si="58"/>
        <v>#DIV/0!</v>
      </c>
      <c r="BJ161" s="442" t="e">
        <f t="shared" si="58"/>
        <v>#DIV/0!</v>
      </c>
      <c r="BK161" s="442" t="e">
        <f t="shared" si="58"/>
        <v>#DIV/0!</v>
      </c>
      <c r="BL161" s="442" t="e">
        <f t="shared" si="58"/>
        <v>#DIV/0!</v>
      </c>
      <c r="BM161" s="442" t="e">
        <f t="shared" si="58"/>
        <v>#DIV/0!</v>
      </c>
      <c r="BN161" s="442" t="e">
        <f t="shared" si="54"/>
        <v>#DIV/0!</v>
      </c>
      <c r="BO161" s="442" t="e">
        <f t="shared" si="55"/>
        <v>#DIV/0!</v>
      </c>
      <c r="BP161" s="442" t="e">
        <f t="shared" si="55"/>
        <v>#DIV/0!</v>
      </c>
      <c r="BQ161" s="442" t="e">
        <f t="shared" si="55"/>
        <v>#DIV/0!</v>
      </c>
      <c r="BR161" s="442" t="e">
        <f t="shared" si="55"/>
        <v>#DIV/0!</v>
      </c>
      <c r="BS161" s="431" t="e">
        <f t="shared" si="55"/>
        <v>#DIV/0!</v>
      </c>
    </row>
    <row r="162" spans="1:193" hidden="1">
      <c r="A162" s="231" t="s">
        <v>241</v>
      </c>
      <c r="B162" s="348">
        <f t="shared" si="58"/>
        <v>5437.333333333333</v>
      </c>
      <c r="C162" s="348">
        <f t="shared" si="58"/>
        <v>5170.833333333333</v>
      </c>
      <c r="D162" s="348">
        <f t="shared" si="58"/>
        <v>4740.333333333333</v>
      </c>
      <c r="E162" s="348">
        <f t="shared" si="58"/>
        <v>4889.333333333333</v>
      </c>
      <c r="F162" s="348">
        <f t="shared" si="58"/>
        <v>5661</v>
      </c>
      <c r="G162" s="348">
        <f t="shared" si="58"/>
        <v>5635.333333333333</v>
      </c>
      <c r="H162" s="348">
        <f t="shared" si="58"/>
        <v>6011</v>
      </c>
      <c r="I162" s="348">
        <f t="shared" si="58"/>
        <v>7288.5</v>
      </c>
      <c r="J162" s="348">
        <f t="shared" si="58"/>
        <v>9313.1666666666661</v>
      </c>
      <c r="K162" s="348">
        <f t="shared" si="58"/>
        <v>9453.8333333333339</v>
      </c>
      <c r="L162" s="348">
        <f t="shared" si="58"/>
        <v>9881</v>
      </c>
      <c r="M162" s="348">
        <f t="shared" si="58"/>
        <v>11409.166666666666</v>
      </c>
      <c r="N162" s="348">
        <f t="shared" si="58"/>
        <v>12048.166666666666</v>
      </c>
      <c r="O162" s="348">
        <f t="shared" si="58"/>
        <v>13031.666666666666</v>
      </c>
      <c r="P162" s="348">
        <f t="shared" si="58"/>
        <v>12791</v>
      </c>
      <c r="Q162" s="348">
        <f t="shared" si="58"/>
        <v>12579.166666666666</v>
      </c>
      <c r="R162" s="348">
        <f t="shared" si="58"/>
        <v>7588</v>
      </c>
      <c r="S162" s="348">
        <f t="shared" si="58"/>
        <v>7103.833333333333</v>
      </c>
      <c r="T162" s="348">
        <f t="shared" si="58"/>
        <v>7420.5</v>
      </c>
      <c r="U162" s="348">
        <f t="shared" si="58"/>
        <v>8524.8333333333339</v>
      </c>
      <c r="V162" s="348">
        <f t="shared" si="58"/>
        <v>9634.1666666666661</v>
      </c>
      <c r="W162" s="348">
        <f t="shared" si="58"/>
        <v>9172.5</v>
      </c>
      <c r="X162" s="348">
        <f t="shared" si="58"/>
        <v>8224.5</v>
      </c>
      <c r="Y162" s="348">
        <f t="shared" si="58"/>
        <v>8048.333333333333</v>
      </c>
      <c r="Z162" s="348">
        <f t="shared" si="58"/>
        <v>7227</v>
      </c>
      <c r="AA162" s="348">
        <f t="shared" si="58"/>
        <v>6761.666666666667</v>
      </c>
      <c r="AB162" s="348">
        <f t="shared" si="58"/>
        <v>6193.166666666667</v>
      </c>
      <c r="AC162" s="348">
        <f t="shared" si="58"/>
        <v>6119.166666666667</v>
      </c>
      <c r="AD162" s="348">
        <f t="shared" si="58"/>
        <v>6078.666666666667</v>
      </c>
      <c r="AE162" s="348">
        <f t="shared" si="58"/>
        <v>6006</v>
      </c>
      <c r="AF162" s="348">
        <f t="shared" si="58"/>
        <v>5283.333333333333</v>
      </c>
      <c r="AG162" s="348">
        <f t="shared" si="58"/>
        <v>5605.333333333333</v>
      </c>
      <c r="AH162" s="348" t="e">
        <f t="shared" si="58"/>
        <v>#DIV/0!</v>
      </c>
      <c r="AI162" s="348" t="e">
        <f t="shared" si="58"/>
        <v>#DIV/0!</v>
      </c>
      <c r="AJ162" s="348" t="e">
        <f t="shared" si="58"/>
        <v>#DIV/0!</v>
      </c>
      <c r="AK162" s="348" t="e">
        <f t="shared" si="58"/>
        <v>#DIV/0!</v>
      </c>
      <c r="AL162" s="348" t="e">
        <f t="shared" si="58"/>
        <v>#DIV/0!</v>
      </c>
      <c r="AM162" s="348" t="e">
        <f t="shared" si="58"/>
        <v>#DIV/0!</v>
      </c>
      <c r="AN162" s="348" t="e">
        <f t="shared" si="58"/>
        <v>#DIV/0!</v>
      </c>
      <c r="AO162" s="348" t="e">
        <f t="shared" si="58"/>
        <v>#DIV/0!</v>
      </c>
      <c r="AP162" s="348" t="e">
        <f t="shared" si="58"/>
        <v>#DIV/0!</v>
      </c>
      <c r="AQ162" s="348" t="e">
        <f t="shared" si="58"/>
        <v>#DIV/0!</v>
      </c>
      <c r="AR162" s="348" t="e">
        <f t="shared" si="58"/>
        <v>#DIV/0!</v>
      </c>
      <c r="AS162" s="348" t="e">
        <f t="shared" si="58"/>
        <v>#DIV/0!</v>
      </c>
      <c r="AT162" s="348" t="e">
        <f t="shared" si="58"/>
        <v>#DIV/0!</v>
      </c>
      <c r="AU162" s="348" t="e">
        <f t="shared" si="58"/>
        <v>#DIV/0!</v>
      </c>
      <c r="AV162" s="348" t="e">
        <f t="shared" si="58"/>
        <v>#DIV/0!</v>
      </c>
      <c r="AW162" s="348" t="e">
        <f t="shared" si="58"/>
        <v>#DIV/0!</v>
      </c>
      <c r="AX162" s="348" t="e">
        <f t="shared" si="58"/>
        <v>#DIV/0!</v>
      </c>
      <c r="AY162" s="348" t="e">
        <f t="shared" si="58"/>
        <v>#DIV/0!</v>
      </c>
      <c r="AZ162" s="348" t="e">
        <f t="shared" si="58"/>
        <v>#DIV/0!</v>
      </c>
      <c r="BA162" s="348" t="e">
        <f t="shared" si="58"/>
        <v>#DIV/0!</v>
      </c>
      <c r="BB162" s="348" t="e">
        <f t="shared" si="58"/>
        <v>#DIV/0!</v>
      </c>
      <c r="BC162" s="348" t="e">
        <f t="shared" si="58"/>
        <v>#DIV/0!</v>
      </c>
      <c r="BD162" s="348" t="e">
        <f t="shared" si="58"/>
        <v>#DIV/0!</v>
      </c>
      <c r="BE162" s="348" t="e">
        <f t="shared" si="58"/>
        <v>#DIV/0!</v>
      </c>
      <c r="BF162" s="348" t="e">
        <f t="shared" si="58"/>
        <v>#DIV/0!</v>
      </c>
      <c r="BG162" s="348" t="e">
        <f t="shared" si="58"/>
        <v>#DIV/0!</v>
      </c>
      <c r="BH162" s="348" t="e">
        <f t="shared" si="58"/>
        <v>#DIV/0!</v>
      </c>
      <c r="BI162" s="348" t="e">
        <f t="shared" si="58"/>
        <v>#DIV/0!</v>
      </c>
      <c r="BJ162" s="348" t="e">
        <f t="shared" si="58"/>
        <v>#DIV/0!</v>
      </c>
      <c r="BK162" s="348" t="e">
        <f t="shared" si="58"/>
        <v>#DIV/0!</v>
      </c>
      <c r="BL162" s="348" t="e">
        <f t="shared" si="58"/>
        <v>#DIV/0!</v>
      </c>
      <c r="BM162" s="348" t="e">
        <f t="shared" ref="BM162" si="59">AVERAGEIFS($B143:$XX143,$B$63:$XX$63,RIGHT(LEFT(BM$64,2),1),$B$62:$XX$62,RIGHT(BM$64,4))</f>
        <v>#DIV/0!</v>
      </c>
      <c r="BN162" s="348" t="e">
        <f t="shared" si="54"/>
        <v>#DIV/0!</v>
      </c>
      <c r="BO162" s="348" t="e">
        <f t="shared" si="55"/>
        <v>#DIV/0!</v>
      </c>
      <c r="BP162" s="348" t="e">
        <f t="shared" si="55"/>
        <v>#DIV/0!</v>
      </c>
      <c r="BQ162" s="348" t="e">
        <f t="shared" si="55"/>
        <v>#DIV/0!</v>
      </c>
      <c r="BR162" s="348" t="e">
        <f t="shared" si="55"/>
        <v>#DIV/0!</v>
      </c>
      <c r="BS162" s="24" t="e">
        <f t="shared" si="55"/>
        <v>#DIV/0!</v>
      </c>
    </row>
    <row r="163" spans="1:193" hidden="1">
      <c r="A163" s="231" t="s">
        <v>244</v>
      </c>
      <c r="B163" s="442">
        <f t="shared" ref="B163:BM164" si="60">AVERAGEIFS($B144:$XX144,$B$63:$XX$63,RIGHT(LEFT(B$64,2),1),$B$62:$XX$62,RIGHT(B$64,4))</f>
        <v>685.83333333333337</v>
      </c>
      <c r="C163" s="442">
        <f t="shared" si="60"/>
        <v>736.5</v>
      </c>
      <c r="D163" s="442">
        <f t="shared" si="60"/>
        <v>664.5</v>
      </c>
      <c r="E163" s="442">
        <f t="shared" si="60"/>
        <v>661.16666666666663</v>
      </c>
      <c r="F163" s="442">
        <f t="shared" si="60"/>
        <v>667.83333333333337</v>
      </c>
      <c r="G163" s="442">
        <f t="shared" si="60"/>
        <v>660.16666666666663</v>
      </c>
      <c r="H163" s="442">
        <f t="shared" si="60"/>
        <v>667.33333333333337</v>
      </c>
      <c r="I163" s="442">
        <f t="shared" si="60"/>
        <v>701.5</v>
      </c>
      <c r="J163" s="442">
        <f t="shared" si="60"/>
        <v>834.5</v>
      </c>
      <c r="K163" s="442">
        <f t="shared" si="60"/>
        <v>870.66666666666663</v>
      </c>
      <c r="L163" s="442">
        <f t="shared" si="60"/>
        <v>806</v>
      </c>
      <c r="M163" s="442">
        <f t="shared" si="60"/>
        <v>870.16666666666663</v>
      </c>
      <c r="N163" s="442">
        <f t="shared" si="60"/>
        <v>863</v>
      </c>
      <c r="O163" s="442">
        <f t="shared" si="60"/>
        <v>866.5</v>
      </c>
      <c r="P163" s="442">
        <f t="shared" si="60"/>
        <v>819.83333333333337</v>
      </c>
      <c r="Q163" s="442">
        <f t="shared" si="60"/>
        <v>913.16666666666663</v>
      </c>
      <c r="R163" s="442">
        <f t="shared" si="60"/>
        <v>929</v>
      </c>
      <c r="S163" s="442">
        <f t="shared" si="60"/>
        <v>917.33333333333337</v>
      </c>
      <c r="T163" s="442">
        <f t="shared" si="60"/>
        <v>1055</v>
      </c>
      <c r="U163" s="442">
        <f t="shared" si="60"/>
        <v>1529.8333333333333</v>
      </c>
      <c r="V163" s="442">
        <f t="shared" si="60"/>
        <v>1061.1666666666667</v>
      </c>
      <c r="W163" s="442">
        <f t="shared" si="60"/>
        <v>1078.6666666666667</v>
      </c>
      <c r="X163" s="442">
        <f t="shared" si="60"/>
        <v>1114.8333333333333</v>
      </c>
      <c r="Y163" s="442">
        <f t="shared" si="60"/>
        <v>1124.5</v>
      </c>
      <c r="Z163" s="442">
        <f t="shared" si="60"/>
        <v>1148.5</v>
      </c>
      <c r="AA163" s="442">
        <f t="shared" si="60"/>
        <v>1181.1666666666667</v>
      </c>
      <c r="AB163" s="442">
        <f t="shared" si="60"/>
        <v>963.66666666666663</v>
      </c>
      <c r="AC163" s="442">
        <f t="shared" si="60"/>
        <v>1060</v>
      </c>
      <c r="AD163" s="442">
        <f t="shared" si="60"/>
        <v>887.5</v>
      </c>
      <c r="AE163" s="442">
        <f t="shared" si="60"/>
        <v>930.83333333333337</v>
      </c>
      <c r="AF163" s="442">
        <f t="shared" si="60"/>
        <v>724.16666666666663</v>
      </c>
      <c r="AG163" s="442">
        <f t="shared" si="60"/>
        <v>864</v>
      </c>
      <c r="AH163" s="442" t="e">
        <f t="shared" si="60"/>
        <v>#DIV/0!</v>
      </c>
      <c r="AI163" s="442" t="e">
        <f t="shared" si="60"/>
        <v>#DIV/0!</v>
      </c>
      <c r="AJ163" s="442" t="e">
        <f t="shared" si="60"/>
        <v>#DIV/0!</v>
      </c>
      <c r="AK163" s="442" t="e">
        <f t="shared" si="60"/>
        <v>#DIV/0!</v>
      </c>
      <c r="AL163" s="442" t="e">
        <f t="shared" si="60"/>
        <v>#DIV/0!</v>
      </c>
      <c r="AM163" s="442" t="e">
        <f t="shared" si="60"/>
        <v>#DIV/0!</v>
      </c>
      <c r="AN163" s="442" t="e">
        <f t="shared" si="60"/>
        <v>#DIV/0!</v>
      </c>
      <c r="AO163" s="442" t="e">
        <f t="shared" si="60"/>
        <v>#DIV/0!</v>
      </c>
      <c r="AP163" s="442" t="e">
        <f t="shared" si="60"/>
        <v>#DIV/0!</v>
      </c>
      <c r="AQ163" s="442" t="e">
        <f t="shared" si="60"/>
        <v>#DIV/0!</v>
      </c>
      <c r="AR163" s="442" t="e">
        <f t="shared" si="60"/>
        <v>#DIV/0!</v>
      </c>
      <c r="AS163" s="442" t="e">
        <f t="shared" si="60"/>
        <v>#DIV/0!</v>
      </c>
      <c r="AT163" s="442" t="e">
        <f t="shared" si="60"/>
        <v>#DIV/0!</v>
      </c>
      <c r="AU163" s="442" t="e">
        <f t="shared" si="60"/>
        <v>#DIV/0!</v>
      </c>
      <c r="AV163" s="442" t="e">
        <f t="shared" si="60"/>
        <v>#DIV/0!</v>
      </c>
      <c r="AW163" s="442" t="e">
        <f t="shared" si="60"/>
        <v>#DIV/0!</v>
      </c>
      <c r="AX163" s="442" t="e">
        <f t="shared" si="60"/>
        <v>#DIV/0!</v>
      </c>
      <c r="AY163" s="442" t="e">
        <f t="shared" si="60"/>
        <v>#DIV/0!</v>
      </c>
      <c r="AZ163" s="442" t="e">
        <f t="shared" si="60"/>
        <v>#DIV/0!</v>
      </c>
      <c r="BA163" s="442" t="e">
        <f t="shared" si="60"/>
        <v>#DIV/0!</v>
      </c>
      <c r="BB163" s="442" t="e">
        <f t="shared" si="60"/>
        <v>#DIV/0!</v>
      </c>
      <c r="BC163" s="442" t="e">
        <f t="shared" si="60"/>
        <v>#DIV/0!</v>
      </c>
      <c r="BD163" s="442" t="e">
        <f t="shared" si="60"/>
        <v>#DIV/0!</v>
      </c>
      <c r="BE163" s="442" t="e">
        <f t="shared" si="60"/>
        <v>#DIV/0!</v>
      </c>
      <c r="BF163" s="442" t="e">
        <f t="shared" si="60"/>
        <v>#DIV/0!</v>
      </c>
      <c r="BG163" s="442" t="e">
        <f t="shared" si="60"/>
        <v>#DIV/0!</v>
      </c>
      <c r="BH163" s="442" t="e">
        <f t="shared" si="60"/>
        <v>#DIV/0!</v>
      </c>
      <c r="BI163" s="442" t="e">
        <f t="shared" si="60"/>
        <v>#DIV/0!</v>
      </c>
      <c r="BJ163" s="442" t="e">
        <f t="shared" si="60"/>
        <v>#DIV/0!</v>
      </c>
      <c r="BK163" s="442" t="e">
        <f t="shared" si="60"/>
        <v>#DIV/0!</v>
      </c>
      <c r="BL163" s="442" t="e">
        <f t="shared" si="60"/>
        <v>#DIV/0!</v>
      </c>
      <c r="BM163" s="442" t="e">
        <f t="shared" si="60"/>
        <v>#DIV/0!</v>
      </c>
      <c r="BN163" s="442" t="e">
        <f t="shared" si="54"/>
        <v>#DIV/0!</v>
      </c>
      <c r="BO163" s="442" t="e">
        <f t="shared" si="55"/>
        <v>#DIV/0!</v>
      </c>
      <c r="BP163" s="442" t="e">
        <f t="shared" si="55"/>
        <v>#DIV/0!</v>
      </c>
      <c r="BQ163" s="442" t="e">
        <f t="shared" si="55"/>
        <v>#DIV/0!</v>
      </c>
      <c r="BR163" s="442" t="e">
        <f t="shared" si="55"/>
        <v>#DIV/0!</v>
      </c>
      <c r="BS163" s="431" t="e">
        <f t="shared" si="55"/>
        <v>#DIV/0!</v>
      </c>
    </row>
    <row r="164" spans="1:193" hidden="1">
      <c r="A164" s="231" t="s">
        <v>246</v>
      </c>
      <c r="B164" s="348">
        <f t="shared" si="60"/>
        <v>368.5</v>
      </c>
      <c r="C164" s="348">
        <f t="shared" si="60"/>
        <v>638</v>
      </c>
      <c r="D164" s="348">
        <f t="shared" si="60"/>
        <v>531.5</v>
      </c>
      <c r="E164" s="348">
        <f t="shared" si="60"/>
        <v>484.83333333333331</v>
      </c>
      <c r="F164" s="348">
        <f t="shared" si="60"/>
        <v>428</v>
      </c>
      <c r="G164" s="348">
        <f t="shared" si="60"/>
        <v>473</v>
      </c>
      <c r="H164" s="348">
        <f t="shared" si="60"/>
        <v>485.16666666666669</v>
      </c>
      <c r="I164" s="348">
        <f t="shared" si="60"/>
        <v>481</v>
      </c>
      <c r="J164" s="348">
        <f t="shared" si="60"/>
        <v>569.33333333333337</v>
      </c>
      <c r="K164" s="348">
        <f t="shared" si="60"/>
        <v>574.66666666666663</v>
      </c>
      <c r="L164" s="348">
        <f t="shared" si="60"/>
        <v>505</v>
      </c>
      <c r="M164" s="348">
        <f t="shared" si="60"/>
        <v>425</v>
      </c>
      <c r="N164" s="348">
        <f t="shared" si="60"/>
        <v>403</v>
      </c>
      <c r="O164" s="348">
        <f t="shared" si="60"/>
        <v>458.66666666666669</v>
      </c>
      <c r="P164" s="348">
        <f t="shared" si="60"/>
        <v>469</v>
      </c>
      <c r="Q164" s="348">
        <f t="shared" si="60"/>
        <v>460</v>
      </c>
      <c r="R164" s="348">
        <f t="shared" si="60"/>
        <v>272.66666666666669</v>
      </c>
      <c r="S164" s="348">
        <f t="shared" si="60"/>
        <v>257.83333333333331</v>
      </c>
      <c r="T164" s="348">
        <f t="shared" si="60"/>
        <v>420.5</v>
      </c>
      <c r="U164" s="348">
        <f t="shared" si="60"/>
        <v>505.5</v>
      </c>
      <c r="V164" s="348">
        <f t="shared" si="60"/>
        <v>603</v>
      </c>
      <c r="W164" s="348">
        <f t="shared" si="60"/>
        <v>612.83333333333337</v>
      </c>
      <c r="X164" s="348">
        <f t="shared" si="60"/>
        <v>686.83333333333337</v>
      </c>
      <c r="Y164" s="348">
        <f t="shared" si="60"/>
        <v>459.66666666666669</v>
      </c>
      <c r="Z164" s="348">
        <f t="shared" si="60"/>
        <v>410.66666666666669</v>
      </c>
      <c r="AA164" s="348">
        <f t="shared" si="60"/>
        <v>368.16666666666669</v>
      </c>
      <c r="AB164" s="348">
        <f t="shared" si="60"/>
        <v>409.66666666666669</v>
      </c>
      <c r="AC164" s="348">
        <f t="shared" si="60"/>
        <v>500.16666666666669</v>
      </c>
      <c r="AD164" s="348">
        <f t="shared" si="60"/>
        <v>628.16666666666663</v>
      </c>
      <c r="AE164" s="348">
        <f t="shared" si="60"/>
        <v>707.5</v>
      </c>
      <c r="AF164" s="348">
        <f t="shared" si="60"/>
        <v>838.66666666666663</v>
      </c>
      <c r="AG164" s="348">
        <f t="shared" si="60"/>
        <v>937.83333333333337</v>
      </c>
      <c r="AH164" s="348" t="e">
        <f t="shared" si="60"/>
        <v>#DIV/0!</v>
      </c>
      <c r="AI164" s="348" t="e">
        <f t="shared" si="60"/>
        <v>#DIV/0!</v>
      </c>
      <c r="AJ164" s="348" t="e">
        <f t="shared" si="60"/>
        <v>#DIV/0!</v>
      </c>
      <c r="AK164" s="348" t="e">
        <f t="shared" si="60"/>
        <v>#DIV/0!</v>
      </c>
      <c r="AL164" s="348" t="e">
        <f t="shared" si="60"/>
        <v>#DIV/0!</v>
      </c>
      <c r="AM164" s="348" t="e">
        <f t="shared" si="60"/>
        <v>#DIV/0!</v>
      </c>
      <c r="AN164" s="348" t="e">
        <f t="shared" si="60"/>
        <v>#DIV/0!</v>
      </c>
      <c r="AO164" s="348" t="e">
        <f t="shared" si="60"/>
        <v>#DIV/0!</v>
      </c>
      <c r="AP164" s="348" t="e">
        <f t="shared" si="60"/>
        <v>#DIV/0!</v>
      </c>
      <c r="AQ164" s="348" t="e">
        <f t="shared" si="60"/>
        <v>#DIV/0!</v>
      </c>
      <c r="AR164" s="348" t="e">
        <f t="shared" si="60"/>
        <v>#DIV/0!</v>
      </c>
      <c r="AS164" s="348" t="e">
        <f t="shared" si="60"/>
        <v>#DIV/0!</v>
      </c>
      <c r="AT164" s="348" t="e">
        <f t="shared" si="60"/>
        <v>#DIV/0!</v>
      </c>
      <c r="AU164" s="348" t="e">
        <f t="shared" si="60"/>
        <v>#DIV/0!</v>
      </c>
      <c r="AV164" s="348" t="e">
        <f t="shared" si="60"/>
        <v>#DIV/0!</v>
      </c>
      <c r="AW164" s="348" t="e">
        <f t="shared" si="60"/>
        <v>#DIV/0!</v>
      </c>
      <c r="AX164" s="348" t="e">
        <f t="shared" si="60"/>
        <v>#DIV/0!</v>
      </c>
      <c r="AY164" s="348" t="e">
        <f t="shared" si="60"/>
        <v>#DIV/0!</v>
      </c>
      <c r="AZ164" s="348" t="e">
        <f t="shared" si="60"/>
        <v>#DIV/0!</v>
      </c>
      <c r="BA164" s="348" t="e">
        <f t="shared" si="60"/>
        <v>#DIV/0!</v>
      </c>
      <c r="BB164" s="348" t="e">
        <f t="shared" si="60"/>
        <v>#DIV/0!</v>
      </c>
      <c r="BC164" s="348" t="e">
        <f t="shared" si="60"/>
        <v>#DIV/0!</v>
      </c>
      <c r="BD164" s="348" t="e">
        <f t="shared" si="60"/>
        <v>#DIV/0!</v>
      </c>
      <c r="BE164" s="348" t="e">
        <f t="shared" si="60"/>
        <v>#DIV/0!</v>
      </c>
      <c r="BF164" s="348" t="e">
        <f t="shared" si="60"/>
        <v>#DIV/0!</v>
      </c>
      <c r="BG164" s="348" t="e">
        <f t="shared" si="60"/>
        <v>#DIV/0!</v>
      </c>
      <c r="BH164" s="348" t="e">
        <f t="shared" si="60"/>
        <v>#DIV/0!</v>
      </c>
      <c r="BI164" s="348" t="e">
        <f t="shared" si="60"/>
        <v>#DIV/0!</v>
      </c>
      <c r="BJ164" s="348" t="e">
        <f t="shared" si="60"/>
        <v>#DIV/0!</v>
      </c>
      <c r="BK164" s="348" t="e">
        <f t="shared" si="60"/>
        <v>#DIV/0!</v>
      </c>
      <c r="BL164" s="348" t="e">
        <f t="shared" si="60"/>
        <v>#DIV/0!</v>
      </c>
      <c r="BM164" s="348" t="e">
        <f t="shared" si="60"/>
        <v>#DIV/0!</v>
      </c>
      <c r="BN164" s="348" t="e">
        <f t="shared" si="54"/>
        <v>#DIV/0!</v>
      </c>
      <c r="BO164" s="348" t="e">
        <f t="shared" si="55"/>
        <v>#DIV/0!</v>
      </c>
      <c r="BP164" s="348" t="e">
        <f t="shared" si="55"/>
        <v>#DIV/0!</v>
      </c>
      <c r="BQ164" s="348" t="e">
        <f t="shared" si="55"/>
        <v>#DIV/0!</v>
      </c>
      <c r="BR164" s="348" t="e">
        <f t="shared" si="55"/>
        <v>#DIV/0!</v>
      </c>
      <c r="BS164" s="24" t="e">
        <f t="shared" si="55"/>
        <v>#DIV/0!</v>
      </c>
    </row>
    <row r="165" spans="1:193" hidden="1">
      <c r="A165" s="231" t="s">
        <v>322</v>
      </c>
      <c r="B165" s="442">
        <f>AVERAGEIFS($B180:$XX180,$B$63:$XX$63,RIGHT(LEFT(B$64,2),1),$B$62:$XX$62,RIGHT(B$64,4))</f>
        <v>565.33333333333337</v>
      </c>
      <c r="C165" s="442">
        <f t="shared" ref="C165:BN165" si="61">AVERAGEIFS($B180:$XX180,$B$63:$XX$63,RIGHT(LEFT(C$64,2),1),$B$62:$XX$62,RIGHT(C$64,4))</f>
        <v>715.33333333333337</v>
      </c>
      <c r="D165" s="442">
        <f t="shared" si="61"/>
        <v>464.16666666666669</v>
      </c>
      <c r="E165" s="442">
        <f t="shared" si="61"/>
        <v>584.5</v>
      </c>
      <c r="F165" s="442">
        <f t="shared" si="61"/>
        <v>544</v>
      </c>
      <c r="G165" s="442">
        <f t="shared" si="61"/>
        <v>526.5</v>
      </c>
      <c r="H165" s="442">
        <f t="shared" si="61"/>
        <v>543.5</v>
      </c>
      <c r="I165" s="442">
        <f t="shared" si="61"/>
        <v>743.16666666666663</v>
      </c>
      <c r="J165" s="442">
        <f t="shared" si="61"/>
        <v>701.33333333333337</v>
      </c>
      <c r="K165" s="442">
        <f t="shared" si="61"/>
        <v>768</v>
      </c>
      <c r="L165" s="442">
        <f t="shared" si="61"/>
        <v>735.33333333333337</v>
      </c>
      <c r="M165" s="442">
        <f t="shared" si="61"/>
        <v>1099.6666666666667</v>
      </c>
      <c r="N165" s="442">
        <f t="shared" si="61"/>
        <v>1236.5</v>
      </c>
      <c r="O165" s="442">
        <f t="shared" si="61"/>
        <v>1705.1666666666667</v>
      </c>
      <c r="P165" s="442">
        <f t="shared" si="61"/>
        <v>1923</v>
      </c>
      <c r="Q165" s="442">
        <f t="shared" si="61"/>
        <v>2668.8333333333335</v>
      </c>
      <c r="R165" s="442">
        <f t="shared" si="61"/>
        <v>1969.5</v>
      </c>
      <c r="S165" s="442">
        <f t="shared" si="61"/>
        <v>2739.5</v>
      </c>
      <c r="T165" s="442">
        <f t="shared" si="61"/>
        <v>2887.1666666666665</v>
      </c>
      <c r="U165" s="442">
        <f t="shared" si="61"/>
        <v>3566.5</v>
      </c>
      <c r="V165" s="442">
        <f t="shared" si="61"/>
        <v>3110.3333333333335</v>
      </c>
      <c r="W165" s="442">
        <f t="shared" si="61"/>
        <v>3935.3333333333335</v>
      </c>
      <c r="X165" s="442">
        <f t="shared" si="61"/>
        <v>3370</v>
      </c>
      <c r="Y165" s="442">
        <f t="shared" si="61"/>
        <v>3108.8333333333335</v>
      </c>
      <c r="Z165" s="442">
        <f t="shared" si="61"/>
        <v>2184</v>
      </c>
      <c r="AA165" s="442">
        <f t="shared" si="61"/>
        <v>2451.6666666666665</v>
      </c>
      <c r="AB165" s="442">
        <f t="shared" si="61"/>
        <v>2187.5</v>
      </c>
      <c r="AC165" s="442">
        <f t="shared" si="61"/>
        <v>2294</v>
      </c>
      <c r="AD165" s="442">
        <f t="shared" si="61"/>
        <v>2062.8333333333335</v>
      </c>
      <c r="AE165" s="442">
        <f t="shared" si="61"/>
        <v>2447.1666666666665</v>
      </c>
      <c r="AF165" s="442">
        <f t="shared" si="61"/>
        <v>1887.3333333333333</v>
      </c>
      <c r="AG165" s="442">
        <f t="shared" si="61"/>
        <v>2390</v>
      </c>
      <c r="AH165" s="442" t="e">
        <f t="shared" si="61"/>
        <v>#DIV/0!</v>
      </c>
      <c r="AI165" s="442" t="e">
        <f t="shared" si="61"/>
        <v>#DIV/0!</v>
      </c>
      <c r="AJ165" s="442" t="e">
        <f t="shared" si="61"/>
        <v>#DIV/0!</v>
      </c>
      <c r="AK165" s="442" t="e">
        <f t="shared" si="61"/>
        <v>#DIV/0!</v>
      </c>
      <c r="AL165" s="442" t="e">
        <f t="shared" si="61"/>
        <v>#DIV/0!</v>
      </c>
      <c r="AM165" s="442" t="e">
        <f t="shared" si="61"/>
        <v>#DIV/0!</v>
      </c>
      <c r="AN165" s="442" t="e">
        <f t="shared" si="61"/>
        <v>#DIV/0!</v>
      </c>
      <c r="AO165" s="442" t="e">
        <f t="shared" si="61"/>
        <v>#DIV/0!</v>
      </c>
      <c r="AP165" s="442" t="e">
        <f t="shared" si="61"/>
        <v>#DIV/0!</v>
      </c>
      <c r="AQ165" s="442" t="e">
        <f t="shared" si="61"/>
        <v>#DIV/0!</v>
      </c>
      <c r="AR165" s="442" t="e">
        <f t="shared" si="61"/>
        <v>#DIV/0!</v>
      </c>
      <c r="AS165" s="442" t="e">
        <f t="shared" si="61"/>
        <v>#DIV/0!</v>
      </c>
      <c r="AT165" s="442" t="e">
        <f t="shared" si="61"/>
        <v>#DIV/0!</v>
      </c>
      <c r="AU165" s="442" t="e">
        <f t="shared" si="61"/>
        <v>#DIV/0!</v>
      </c>
      <c r="AV165" s="442" t="e">
        <f t="shared" si="61"/>
        <v>#DIV/0!</v>
      </c>
      <c r="AW165" s="442" t="e">
        <f t="shared" si="61"/>
        <v>#DIV/0!</v>
      </c>
      <c r="AX165" s="442" t="e">
        <f t="shared" si="61"/>
        <v>#DIV/0!</v>
      </c>
      <c r="AY165" s="442" t="e">
        <f t="shared" si="61"/>
        <v>#DIV/0!</v>
      </c>
      <c r="AZ165" s="442" t="e">
        <f t="shared" si="61"/>
        <v>#DIV/0!</v>
      </c>
      <c r="BA165" s="442" t="e">
        <f t="shared" si="61"/>
        <v>#DIV/0!</v>
      </c>
      <c r="BB165" s="442" t="e">
        <f t="shared" si="61"/>
        <v>#DIV/0!</v>
      </c>
      <c r="BC165" s="442" t="e">
        <f t="shared" si="61"/>
        <v>#DIV/0!</v>
      </c>
      <c r="BD165" s="442" t="e">
        <f t="shared" si="61"/>
        <v>#DIV/0!</v>
      </c>
      <c r="BE165" s="442" t="e">
        <f t="shared" si="61"/>
        <v>#DIV/0!</v>
      </c>
      <c r="BF165" s="442" t="e">
        <f t="shared" si="61"/>
        <v>#DIV/0!</v>
      </c>
      <c r="BG165" s="442" t="e">
        <f t="shared" si="61"/>
        <v>#DIV/0!</v>
      </c>
      <c r="BH165" s="442" t="e">
        <f t="shared" si="61"/>
        <v>#DIV/0!</v>
      </c>
      <c r="BI165" s="442" t="e">
        <f t="shared" si="61"/>
        <v>#DIV/0!</v>
      </c>
      <c r="BJ165" s="442" t="e">
        <f t="shared" si="61"/>
        <v>#DIV/0!</v>
      </c>
      <c r="BK165" s="442" t="e">
        <f t="shared" si="61"/>
        <v>#DIV/0!</v>
      </c>
      <c r="BL165" s="442" t="e">
        <f t="shared" si="61"/>
        <v>#DIV/0!</v>
      </c>
      <c r="BM165" s="442" t="e">
        <f t="shared" si="61"/>
        <v>#DIV/0!</v>
      </c>
      <c r="BN165" s="442" t="e">
        <f t="shared" si="61"/>
        <v>#DIV/0!</v>
      </c>
      <c r="BO165" s="442" t="e">
        <f t="shared" ref="BO165:BS165" si="62">AVERAGEIFS($B180:$XX180,$B$63:$XX$63,RIGHT(LEFT(BO$64,2),1),$B$62:$XX$62,RIGHT(BO$64,4))</f>
        <v>#DIV/0!</v>
      </c>
      <c r="BP165" s="442" t="e">
        <f t="shared" si="62"/>
        <v>#DIV/0!</v>
      </c>
      <c r="BQ165" s="442" t="e">
        <f t="shared" si="62"/>
        <v>#DIV/0!</v>
      </c>
      <c r="BR165" s="442" t="e">
        <f t="shared" si="62"/>
        <v>#DIV/0!</v>
      </c>
      <c r="BS165" s="431" t="e">
        <f t="shared" si="62"/>
        <v>#DIV/0!</v>
      </c>
    </row>
    <row r="166" spans="1:193" ht="15.75" hidden="1" thickBot="1">
      <c r="A166" s="232" t="s">
        <v>103</v>
      </c>
      <c r="B166" s="508">
        <f t="shared" ref="B166:BM167" si="63">AVERAGEIFS($B146:$XX146,$B$63:$XX$63,RIGHT(LEFT(B$64,2),1),$B$62:$XX$62,RIGHT(B$64,4))</f>
        <v>1508</v>
      </c>
      <c r="C166" s="509">
        <f t="shared" si="63"/>
        <v>1514.1666666666667</v>
      </c>
      <c r="D166" s="509">
        <f t="shared" si="63"/>
        <v>1395.8333333333333</v>
      </c>
      <c r="E166" s="509">
        <f t="shared" si="63"/>
        <v>1715.1666666666667</v>
      </c>
      <c r="F166" s="509">
        <f t="shared" si="63"/>
        <v>1534.8333333333333</v>
      </c>
      <c r="G166" s="509">
        <f t="shared" si="63"/>
        <v>1586.1666666666667</v>
      </c>
      <c r="H166" s="509">
        <f t="shared" si="63"/>
        <v>1642.3333333333333</v>
      </c>
      <c r="I166" s="509">
        <f t="shared" si="63"/>
        <v>1876</v>
      </c>
      <c r="J166" s="509">
        <f t="shared" si="63"/>
        <v>1784.5</v>
      </c>
      <c r="K166" s="509">
        <f t="shared" si="63"/>
        <v>1915.6666666666667</v>
      </c>
      <c r="L166" s="509">
        <f t="shared" si="63"/>
        <v>1707.3333333333333</v>
      </c>
      <c r="M166" s="509">
        <f t="shared" si="63"/>
        <v>1696</v>
      </c>
      <c r="N166" s="509">
        <f t="shared" si="63"/>
        <v>1699.6666666666667</v>
      </c>
      <c r="O166" s="509">
        <f t="shared" si="63"/>
        <v>1854.5</v>
      </c>
      <c r="P166" s="509">
        <f t="shared" si="63"/>
        <v>2098.3333333333335</v>
      </c>
      <c r="Q166" s="509">
        <f t="shared" si="63"/>
        <v>2426.1666666666665</v>
      </c>
      <c r="R166" s="509">
        <f t="shared" si="63"/>
        <v>2447.5</v>
      </c>
      <c r="S166" s="509">
        <f t="shared" si="63"/>
        <v>2299</v>
      </c>
      <c r="T166" s="509">
        <f t="shared" si="63"/>
        <v>2491.5</v>
      </c>
      <c r="U166" s="509">
        <f t="shared" si="63"/>
        <v>3236.5</v>
      </c>
      <c r="V166" s="509">
        <f t="shared" si="63"/>
        <v>3674.5</v>
      </c>
      <c r="W166" s="509">
        <f t="shared" si="63"/>
        <v>4004.1666666666665</v>
      </c>
      <c r="X166" s="509">
        <f t="shared" si="63"/>
        <v>3767.1666666666665</v>
      </c>
      <c r="Y166" s="509">
        <f t="shared" si="63"/>
        <v>3370</v>
      </c>
      <c r="Z166" s="509">
        <f t="shared" si="63"/>
        <v>3713</v>
      </c>
      <c r="AA166" s="509">
        <f t="shared" si="63"/>
        <v>3530.5</v>
      </c>
      <c r="AB166" s="509">
        <f t="shared" si="63"/>
        <v>3458.5</v>
      </c>
      <c r="AC166" s="509">
        <f t="shared" si="63"/>
        <v>3476.6666666666665</v>
      </c>
      <c r="AD166" s="509">
        <f t="shared" si="63"/>
        <v>2991.6666666666665</v>
      </c>
      <c r="AE166" s="509">
        <f t="shared" si="63"/>
        <v>3037.6666666666665</v>
      </c>
      <c r="AF166" s="509">
        <f t="shared" si="63"/>
        <v>2593.5</v>
      </c>
      <c r="AG166" s="509">
        <f t="shared" si="63"/>
        <v>2591.5</v>
      </c>
      <c r="AH166" s="509" t="e">
        <f t="shared" si="63"/>
        <v>#DIV/0!</v>
      </c>
      <c r="AI166" s="509" t="e">
        <f t="shared" si="63"/>
        <v>#DIV/0!</v>
      </c>
      <c r="AJ166" s="509" t="e">
        <f t="shared" si="63"/>
        <v>#DIV/0!</v>
      </c>
      <c r="AK166" s="509" t="e">
        <f t="shared" si="63"/>
        <v>#DIV/0!</v>
      </c>
      <c r="AL166" s="509" t="e">
        <f t="shared" si="63"/>
        <v>#DIV/0!</v>
      </c>
      <c r="AM166" s="509" t="e">
        <f t="shared" si="63"/>
        <v>#DIV/0!</v>
      </c>
      <c r="AN166" s="509" t="e">
        <f t="shared" si="63"/>
        <v>#DIV/0!</v>
      </c>
      <c r="AO166" s="509" t="e">
        <f t="shared" si="63"/>
        <v>#DIV/0!</v>
      </c>
      <c r="AP166" s="509" t="e">
        <f t="shared" si="63"/>
        <v>#DIV/0!</v>
      </c>
      <c r="AQ166" s="509" t="e">
        <f t="shared" si="63"/>
        <v>#DIV/0!</v>
      </c>
      <c r="AR166" s="509" t="e">
        <f t="shared" si="63"/>
        <v>#DIV/0!</v>
      </c>
      <c r="AS166" s="509" t="e">
        <f t="shared" si="63"/>
        <v>#DIV/0!</v>
      </c>
      <c r="AT166" s="509" t="e">
        <f t="shared" si="63"/>
        <v>#DIV/0!</v>
      </c>
      <c r="AU166" s="509" t="e">
        <f t="shared" si="63"/>
        <v>#DIV/0!</v>
      </c>
      <c r="AV166" s="509" t="e">
        <f t="shared" si="63"/>
        <v>#DIV/0!</v>
      </c>
      <c r="AW166" s="509" t="e">
        <f t="shared" si="63"/>
        <v>#DIV/0!</v>
      </c>
      <c r="AX166" s="509" t="e">
        <f t="shared" si="63"/>
        <v>#DIV/0!</v>
      </c>
      <c r="AY166" s="509" t="e">
        <f t="shared" si="63"/>
        <v>#DIV/0!</v>
      </c>
      <c r="AZ166" s="509" t="e">
        <f t="shared" si="63"/>
        <v>#DIV/0!</v>
      </c>
      <c r="BA166" s="509" t="e">
        <f t="shared" si="63"/>
        <v>#DIV/0!</v>
      </c>
      <c r="BB166" s="509" t="e">
        <f t="shared" si="63"/>
        <v>#DIV/0!</v>
      </c>
      <c r="BC166" s="509" t="e">
        <f t="shared" si="63"/>
        <v>#DIV/0!</v>
      </c>
      <c r="BD166" s="509" t="e">
        <f t="shared" si="63"/>
        <v>#DIV/0!</v>
      </c>
      <c r="BE166" s="509" t="e">
        <f t="shared" si="63"/>
        <v>#DIV/0!</v>
      </c>
      <c r="BF166" s="509" t="e">
        <f t="shared" si="63"/>
        <v>#DIV/0!</v>
      </c>
      <c r="BG166" s="509" t="e">
        <f t="shared" si="63"/>
        <v>#DIV/0!</v>
      </c>
      <c r="BH166" s="509" t="e">
        <f t="shared" si="63"/>
        <v>#DIV/0!</v>
      </c>
      <c r="BI166" s="509" t="e">
        <f t="shared" si="63"/>
        <v>#DIV/0!</v>
      </c>
      <c r="BJ166" s="509" t="e">
        <f t="shared" si="63"/>
        <v>#DIV/0!</v>
      </c>
      <c r="BK166" s="509" t="e">
        <f t="shared" si="63"/>
        <v>#DIV/0!</v>
      </c>
      <c r="BL166" s="509" t="e">
        <f t="shared" si="63"/>
        <v>#DIV/0!</v>
      </c>
      <c r="BM166" s="509" t="e">
        <f t="shared" si="63"/>
        <v>#DIV/0!</v>
      </c>
      <c r="BN166" s="509" t="e">
        <f t="shared" ref="BN166:BS167" si="64">AVERAGEIFS($B146:$XX146,$B$63:$XX$63,RIGHT(LEFT(BN$64,2),1),$B$62:$XX$62,RIGHT(BN$64,4))</f>
        <v>#DIV/0!</v>
      </c>
      <c r="BO166" s="509" t="e">
        <f t="shared" si="64"/>
        <v>#DIV/0!</v>
      </c>
      <c r="BP166" s="509" t="e">
        <f t="shared" si="64"/>
        <v>#DIV/0!</v>
      </c>
      <c r="BQ166" s="509" t="e">
        <f t="shared" si="64"/>
        <v>#DIV/0!</v>
      </c>
      <c r="BR166" s="509" t="e">
        <f t="shared" si="64"/>
        <v>#DIV/0!</v>
      </c>
      <c r="BS166" s="510" t="e">
        <f t="shared" si="64"/>
        <v>#DIV/0!</v>
      </c>
    </row>
    <row r="167" spans="1:193" ht="15.75" hidden="1" thickBot="1">
      <c r="A167" s="162" t="s">
        <v>183</v>
      </c>
      <c r="B167" s="388">
        <f>AVERAGEIFS($B147:$XX147,$B$63:$XX$63,RIGHT(LEFT(B$64,2),1),$B$62:$XX$62,RIGHT(B$64,4))</f>
        <v>40698</v>
      </c>
      <c r="C167" s="388">
        <f t="shared" si="63"/>
        <v>41536</v>
      </c>
      <c r="D167" s="388">
        <f t="shared" si="63"/>
        <v>40402.666666666664</v>
      </c>
      <c r="E167" s="388">
        <f t="shared" si="63"/>
        <v>42372.666666666664</v>
      </c>
      <c r="F167" s="388">
        <f t="shared" si="63"/>
        <v>43510.666666666664</v>
      </c>
      <c r="G167" s="388">
        <f t="shared" si="63"/>
        <v>44944.666666666664</v>
      </c>
      <c r="H167" s="388">
        <f t="shared" si="63"/>
        <v>46690.5</v>
      </c>
      <c r="I167" s="388">
        <f t="shared" si="63"/>
        <v>49282.833333333336</v>
      </c>
      <c r="J167" s="388">
        <f t="shared" si="63"/>
        <v>52832</v>
      </c>
      <c r="K167" s="388">
        <f t="shared" si="63"/>
        <v>55953.5</v>
      </c>
      <c r="L167" s="388">
        <f t="shared" si="63"/>
        <v>56803.333333333336</v>
      </c>
      <c r="M167" s="388">
        <f t="shared" si="63"/>
        <v>59612.166666666664</v>
      </c>
      <c r="N167" s="388">
        <f t="shared" si="63"/>
        <v>62286</v>
      </c>
      <c r="O167" s="388">
        <f t="shared" si="63"/>
        <v>65504.666666666664</v>
      </c>
      <c r="P167" s="388">
        <f t="shared" si="63"/>
        <v>66666.5</v>
      </c>
      <c r="Q167" s="388">
        <f t="shared" si="63"/>
        <v>73329.666666666672</v>
      </c>
      <c r="R167" s="388">
        <f t="shared" si="63"/>
        <v>67800</v>
      </c>
      <c r="S167" s="388">
        <f t="shared" si="63"/>
        <v>67161.166666666672</v>
      </c>
      <c r="T167" s="388">
        <f t="shared" si="63"/>
        <v>70396.666666666672</v>
      </c>
      <c r="U167" s="388">
        <f t="shared" si="63"/>
        <v>79204</v>
      </c>
      <c r="V167" s="388">
        <f t="shared" si="63"/>
        <v>84696.166666666672</v>
      </c>
      <c r="W167" s="388">
        <f t="shared" si="63"/>
        <v>92342.5</v>
      </c>
      <c r="X167" s="388">
        <f t="shared" si="63"/>
        <v>101519.66666666667</v>
      </c>
      <c r="Y167" s="388">
        <f t="shared" si="63"/>
        <v>104367.5</v>
      </c>
      <c r="Z167" s="388">
        <f t="shared" si="63"/>
        <v>108261.5</v>
      </c>
      <c r="AA167" s="388">
        <f t="shared" si="63"/>
        <v>109689.16666666667</v>
      </c>
      <c r="AB167" s="388">
        <f t="shared" si="63"/>
        <v>106052.83333333333</v>
      </c>
      <c r="AC167" s="388">
        <f t="shared" si="63"/>
        <v>108587.5</v>
      </c>
      <c r="AD167" s="388">
        <f t="shared" si="63"/>
        <v>102440</v>
      </c>
      <c r="AE167" s="388">
        <f t="shared" si="63"/>
        <v>103621</v>
      </c>
      <c r="AF167" s="388">
        <f t="shared" si="63"/>
        <v>101092.66666666667</v>
      </c>
      <c r="AG167" s="388">
        <f t="shared" si="63"/>
        <v>104236.16666666667</v>
      </c>
      <c r="AH167" s="388" t="e">
        <f t="shared" si="63"/>
        <v>#DIV/0!</v>
      </c>
      <c r="AI167" s="388" t="e">
        <f t="shared" si="63"/>
        <v>#DIV/0!</v>
      </c>
      <c r="AJ167" s="388" t="e">
        <f t="shared" si="63"/>
        <v>#DIV/0!</v>
      </c>
      <c r="AK167" s="388" t="e">
        <f t="shared" si="63"/>
        <v>#DIV/0!</v>
      </c>
      <c r="AL167" s="388" t="e">
        <f t="shared" si="63"/>
        <v>#DIV/0!</v>
      </c>
      <c r="AM167" s="388" t="e">
        <f t="shared" si="63"/>
        <v>#DIV/0!</v>
      </c>
      <c r="AN167" s="388" t="e">
        <f t="shared" si="63"/>
        <v>#DIV/0!</v>
      </c>
      <c r="AO167" s="388" t="e">
        <f t="shared" si="63"/>
        <v>#DIV/0!</v>
      </c>
      <c r="AP167" s="388" t="e">
        <f t="shared" si="63"/>
        <v>#DIV/0!</v>
      </c>
      <c r="AQ167" s="388" t="e">
        <f t="shared" si="63"/>
        <v>#DIV/0!</v>
      </c>
      <c r="AR167" s="388" t="e">
        <f t="shared" si="63"/>
        <v>#DIV/0!</v>
      </c>
      <c r="AS167" s="388" t="e">
        <f t="shared" si="63"/>
        <v>#DIV/0!</v>
      </c>
      <c r="AT167" s="388" t="e">
        <f t="shared" si="63"/>
        <v>#DIV/0!</v>
      </c>
      <c r="AU167" s="388" t="e">
        <f t="shared" si="63"/>
        <v>#DIV/0!</v>
      </c>
      <c r="AV167" s="388" t="e">
        <f t="shared" si="63"/>
        <v>#DIV/0!</v>
      </c>
      <c r="AW167" s="388" t="e">
        <f t="shared" si="63"/>
        <v>#DIV/0!</v>
      </c>
      <c r="AX167" s="388" t="e">
        <f t="shared" si="63"/>
        <v>#DIV/0!</v>
      </c>
      <c r="AY167" s="388" t="e">
        <f t="shared" si="63"/>
        <v>#DIV/0!</v>
      </c>
      <c r="AZ167" s="388" t="e">
        <f t="shared" si="63"/>
        <v>#DIV/0!</v>
      </c>
      <c r="BA167" s="388" t="e">
        <f t="shared" si="63"/>
        <v>#DIV/0!</v>
      </c>
      <c r="BB167" s="388" t="e">
        <f t="shared" si="63"/>
        <v>#DIV/0!</v>
      </c>
      <c r="BC167" s="388" t="e">
        <f t="shared" si="63"/>
        <v>#DIV/0!</v>
      </c>
      <c r="BD167" s="388" t="e">
        <f t="shared" si="63"/>
        <v>#DIV/0!</v>
      </c>
      <c r="BE167" s="388" t="e">
        <f t="shared" si="63"/>
        <v>#DIV/0!</v>
      </c>
      <c r="BF167" s="388" t="e">
        <f t="shared" si="63"/>
        <v>#DIV/0!</v>
      </c>
      <c r="BG167" s="388" t="e">
        <f t="shared" si="63"/>
        <v>#DIV/0!</v>
      </c>
      <c r="BH167" s="388" t="e">
        <f t="shared" si="63"/>
        <v>#DIV/0!</v>
      </c>
      <c r="BI167" s="388" t="e">
        <f t="shared" si="63"/>
        <v>#DIV/0!</v>
      </c>
      <c r="BJ167" s="388" t="e">
        <f t="shared" si="63"/>
        <v>#DIV/0!</v>
      </c>
      <c r="BK167" s="388" t="e">
        <f t="shared" si="63"/>
        <v>#DIV/0!</v>
      </c>
      <c r="BL167" s="388" t="e">
        <f t="shared" si="63"/>
        <v>#DIV/0!</v>
      </c>
      <c r="BM167" s="388" t="e">
        <f t="shared" si="63"/>
        <v>#DIV/0!</v>
      </c>
      <c r="BN167" s="388" t="e">
        <f t="shared" si="64"/>
        <v>#DIV/0!</v>
      </c>
      <c r="BO167" s="388" t="e">
        <f t="shared" si="64"/>
        <v>#DIV/0!</v>
      </c>
      <c r="BP167" s="388" t="e">
        <f t="shared" si="64"/>
        <v>#DIV/0!</v>
      </c>
      <c r="BQ167" s="388" t="e">
        <f t="shared" si="64"/>
        <v>#DIV/0!</v>
      </c>
      <c r="BR167" s="388" t="e">
        <f t="shared" si="64"/>
        <v>#DIV/0!</v>
      </c>
      <c r="BS167" s="389" t="e">
        <f t="shared" si="64"/>
        <v>#DIV/0!</v>
      </c>
    </row>
    <row r="170" spans="1:193" ht="15.75" thickBot="1">
      <c r="A170" s="357" t="s">
        <v>332</v>
      </c>
    </row>
    <row r="171" spans="1:193" ht="15.75" thickBot="1">
      <c r="A171" s="233"/>
      <c r="B171" s="230">
        <v>36892</v>
      </c>
      <c r="C171" s="230">
        <v>36923</v>
      </c>
      <c r="D171" s="230">
        <v>36951</v>
      </c>
      <c r="E171" s="230">
        <v>36982</v>
      </c>
      <c r="F171" s="230">
        <v>37012</v>
      </c>
      <c r="G171" s="230">
        <v>37043</v>
      </c>
      <c r="H171" s="230">
        <v>37073</v>
      </c>
      <c r="I171" s="230">
        <v>37104</v>
      </c>
      <c r="J171" s="230">
        <v>37135</v>
      </c>
      <c r="K171" s="230">
        <v>37165</v>
      </c>
      <c r="L171" s="230">
        <v>37196</v>
      </c>
      <c r="M171" s="230">
        <v>37226</v>
      </c>
      <c r="N171" s="230">
        <v>37257</v>
      </c>
      <c r="O171" s="230">
        <v>37288</v>
      </c>
      <c r="P171" s="230">
        <v>37316</v>
      </c>
      <c r="Q171" s="230">
        <v>37347</v>
      </c>
      <c r="R171" s="230">
        <v>37377</v>
      </c>
      <c r="S171" s="230">
        <v>37408</v>
      </c>
      <c r="T171" s="230">
        <v>37438</v>
      </c>
      <c r="U171" s="230">
        <v>37469</v>
      </c>
      <c r="V171" s="230">
        <v>37500</v>
      </c>
      <c r="W171" s="230">
        <v>37530</v>
      </c>
      <c r="X171" s="230">
        <v>37561</v>
      </c>
      <c r="Y171" s="230">
        <v>37591</v>
      </c>
      <c r="Z171" s="230">
        <v>37622</v>
      </c>
      <c r="AA171" s="230">
        <v>37653</v>
      </c>
      <c r="AB171" s="230">
        <v>37681</v>
      </c>
      <c r="AC171" s="230">
        <v>37712</v>
      </c>
      <c r="AD171" s="230">
        <v>37742</v>
      </c>
      <c r="AE171" s="230">
        <v>37773</v>
      </c>
      <c r="AF171" s="230">
        <v>37803</v>
      </c>
      <c r="AG171" s="230">
        <v>37834</v>
      </c>
      <c r="AH171" s="230">
        <v>37865</v>
      </c>
      <c r="AI171" s="230">
        <v>37895</v>
      </c>
      <c r="AJ171" s="230">
        <v>37926</v>
      </c>
      <c r="AK171" s="230">
        <v>37956</v>
      </c>
      <c r="AL171" s="230">
        <v>37987</v>
      </c>
      <c r="AM171" s="230">
        <v>38018</v>
      </c>
      <c r="AN171" s="230">
        <v>38047</v>
      </c>
      <c r="AO171" s="230">
        <v>38078</v>
      </c>
      <c r="AP171" s="230">
        <v>38108</v>
      </c>
      <c r="AQ171" s="230">
        <v>38139</v>
      </c>
      <c r="AR171" s="230">
        <v>38169</v>
      </c>
      <c r="AS171" s="230">
        <v>38200</v>
      </c>
      <c r="AT171" s="230">
        <v>38231</v>
      </c>
      <c r="AU171" s="230">
        <v>38261</v>
      </c>
      <c r="AV171" s="230">
        <v>38292</v>
      </c>
      <c r="AW171" s="230">
        <v>38322</v>
      </c>
      <c r="AX171" s="230">
        <v>38353</v>
      </c>
      <c r="AY171" s="230">
        <v>38384</v>
      </c>
      <c r="AZ171" s="230">
        <v>38412</v>
      </c>
      <c r="BA171" s="230">
        <v>38443</v>
      </c>
      <c r="BB171" s="230">
        <v>38473</v>
      </c>
      <c r="BC171" s="230">
        <v>38504</v>
      </c>
      <c r="BD171" s="230">
        <v>38534</v>
      </c>
      <c r="BE171" s="230">
        <v>38565</v>
      </c>
      <c r="BF171" s="230">
        <v>38596</v>
      </c>
      <c r="BG171" s="230">
        <v>38626</v>
      </c>
      <c r="BH171" s="230">
        <v>38657</v>
      </c>
      <c r="BI171" s="230">
        <v>38687</v>
      </c>
      <c r="BJ171" s="230">
        <v>38718</v>
      </c>
      <c r="BK171" s="230">
        <v>38749</v>
      </c>
      <c r="BL171" s="230">
        <v>38777</v>
      </c>
      <c r="BM171" s="230">
        <v>38808</v>
      </c>
      <c r="BN171" s="230">
        <v>38838</v>
      </c>
      <c r="BO171" s="230">
        <v>38869</v>
      </c>
      <c r="BP171" s="230">
        <v>38899</v>
      </c>
      <c r="BQ171" s="230">
        <v>38930</v>
      </c>
      <c r="BR171" s="230">
        <v>38961</v>
      </c>
      <c r="BS171" s="230">
        <v>38991</v>
      </c>
      <c r="BT171" s="230">
        <v>39022</v>
      </c>
      <c r="BU171" s="230">
        <v>39052</v>
      </c>
      <c r="BV171" s="230">
        <v>39083</v>
      </c>
      <c r="BW171" s="230">
        <v>39114</v>
      </c>
      <c r="BX171" s="230">
        <v>39142</v>
      </c>
      <c r="BY171" s="230">
        <v>39173</v>
      </c>
      <c r="BZ171" s="230">
        <v>39203</v>
      </c>
      <c r="CA171" s="230">
        <v>39234</v>
      </c>
      <c r="CB171" s="230">
        <v>39264</v>
      </c>
      <c r="CC171" s="230">
        <v>39295</v>
      </c>
      <c r="CD171" s="230">
        <v>39326</v>
      </c>
      <c r="CE171" s="230">
        <v>39356</v>
      </c>
      <c r="CF171" s="438">
        <v>39387</v>
      </c>
      <c r="CG171" s="438">
        <v>39417</v>
      </c>
      <c r="CH171" s="438">
        <v>39448</v>
      </c>
      <c r="CI171" s="438">
        <v>39479</v>
      </c>
      <c r="CJ171" s="438">
        <v>39508</v>
      </c>
      <c r="CK171" s="438">
        <v>39539</v>
      </c>
      <c r="CL171" s="438">
        <v>39569</v>
      </c>
      <c r="CM171" s="438">
        <v>39600</v>
      </c>
      <c r="CN171" s="438">
        <v>39630</v>
      </c>
      <c r="CO171" s="438">
        <v>39661</v>
      </c>
      <c r="CP171" s="438">
        <v>39692</v>
      </c>
      <c r="CQ171" s="438">
        <v>39722</v>
      </c>
      <c r="CR171" s="438">
        <v>39753</v>
      </c>
      <c r="CS171" s="438">
        <v>39783</v>
      </c>
      <c r="CT171" s="438">
        <v>39814</v>
      </c>
      <c r="CU171" s="438">
        <v>39845</v>
      </c>
      <c r="CV171" s="438">
        <v>39873</v>
      </c>
      <c r="CW171" s="438">
        <v>39904</v>
      </c>
      <c r="CX171" s="438">
        <v>39934</v>
      </c>
      <c r="CY171" s="438">
        <v>39965</v>
      </c>
      <c r="CZ171" s="438">
        <v>39995</v>
      </c>
      <c r="DA171" s="438">
        <v>40026</v>
      </c>
      <c r="DB171" s="438">
        <v>40057</v>
      </c>
      <c r="DC171" s="438">
        <v>40087</v>
      </c>
      <c r="DD171" s="438">
        <v>40118</v>
      </c>
      <c r="DE171" s="438">
        <v>40148</v>
      </c>
      <c r="DF171" s="438">
        <v>40179</v>
      </c>
      <c r="DG171" s="438">
        <v>40210</v>
      </c>
      <c r="DH171" s="438">
        <v>40238</v>
      </c>
      <c r="DI171" s="438">
        <v>40269</v>
      </c>
      <c r="DJ171" s="438">
        <v>40299</v>
      </c>
      <c r="DK171" s="438">
        <v>40330</v>
      </c>
      <c r="DL171" s="438">
        <v>40360</v>
      </c>
      <c r="DM171" s="438">
        <v>40391</v>
      </c>
      <c r="DN171" s="438">
        <v>40422</v>
      </c>
      <c r="DO171" s="438">
        <v>40452</v>
      </c>
      <c r="DP171" s="438">
        <v>40483</v>
      </c>
      <c r="DQ171" s="438">
        <v>40513</v>
      </c>
      <c r="DR171" s="438">
        <v>40544</v>
      </c>
      <c r="DS171" s="438">
        <v>40575</v>
      </c>
      <c r="DT171" s="438">
        <v>40603</v>
      </c>
      <c r="DU171" s="438">
        <v>40634</v>
      </c>
      <c r="DV171" s="438">
        <v>40664</v>
      </c>
      <c r="DW171" s="438">
        <v>40695</v>
      </c>
      <c r="DX171" s="438">
        <v>40725</v>
      </c>
      <c r="DY171" s="438">
        <v>40756</v>
      </c>
      <c r="DZ171" s="438">
        <v>40787</v>
      </c>
      <c r="EA171" s="438">
        <v>40817</v>
      </c>
      <c r="EB171" s="438">
        <v>40848</v>
      </c>
      <c r="EC171" s="438">
        <v>40878</v>
      </c>
      <c r="ED171" s="438">
        <v>40909</v>
      </c>
      <c r="EE171" s="438">
        <v>40940</v>
      </c>
      <c r="EF171" s="438">
        <v>40969</v>
      </c>
      <c r="EG171" s="438">
        <v>41000</v>
      </c>
      <c r="EH171" s="438">
        <v>41030</v>
      </c>
      <c r="EI171" s="438">
        <v>41061</v>
      </c>
      <c r="EJ171" s="438">
        <v>41091</v>
      </c>
      <c r="EK171" s="438">
        <v>41122</v>
      </c>
      <c r="EL171" s="438">
        <v>41153</v>
      </c>
      <c r="EM171" s="438">
        <v>41183</v>
      </c>
      <c r="EN171" s="438">
        <v>41214</v>
      </c>
      <c r="EO171" s="438">
        <v>41244</v>
      </c>
      <c r="EP171" s="438">
        <v>41275</v>
      </c>
      <c r="EQ171" s="438">
        <v>41306</v>
      </c>
      <c r="ER171" s="438">
        <v>41334</v>
      </c>
      <c r="ES171" s="438">
        <v>41365</v>
      </c>
      <c r="ET171" s="438">
        <v>41395</v>
      </c>
      <c r="EU171" s="438">
        <v>41426</v>
      </c>
      <c r="EV171" s="438">
        <v>41456</v>
      </c>
      <c r="EW171" s="438">
        <v>41487</v>
      </c>
      <c r="EX171" s="438">
        <v>41518</v>
      </c>
      <c r="EY171" s="438">
        <v>41548</v>
      </c>
      <c r="EZ171" s="438">
        <v>41579</v>
      </c>
      <c r="FA171" s="438">
        <v>41609</v>
      </c>
      <c r="FB171" s="438">
        <v>41640</v>
      </c>
      <c r="FC171" s="438">
        <v>41671</v>
      </c>
      <c r="FD171" s="438">
        <v>41699</v>
      </c>
      <c r="FE171" s="438">
        <v>41730</v>
      </c>
      <c r="FF171" s="438">
        <v>41760</v>
      </c>
      <c r="FG171" s="438">
        <v>41791</v>
      </c>
      <c r="FH171" s="438">
        <v>41821</v>
      </c>
      <c r="FI171" s="438">
        <v>41852</v>
      </c>
      <c r="FJ171" s="438">
        <v>41883</v>
      </c>
      <c r="FK171" s="438">
        <v>41913</v>
      </c>
      <c r="FL171" s="438">
        <v>41944</v>
      </c>
      <c r="FM171" s="438">
        <v>41974</v>
      </c>
      <c r="FN171" s="438">
        <v>42005</v>
      </c>
      <c r="FO171" s="438">
        <v>42036</v>
      </c>
      <c r="FP171" s="438">
        <v>42064</v>
      </c>
      <c r="FQ171" s="438">
        <v>42095</v>
      </c>
      <c r="FR171" s="438">
        <v>42125</v>
      </c>
      <c r="FS171" s="438">
        <v>42156</v>
      </c>
      <c r="FT171" s="438">
        <v>42186</v>
      </c>
      <c r="FU171" s="438">
        <v>42217</v>
      </c>
      <c r="FV171" s="438">
        <v>42248</v>
      </c>
      <c r="FW171" s="438">
        <v>42278</v>
      </c>
      <c r="FX171" s="438">
        <v>42309</v>
      </c>
      <c r="FY171" s="438">
        <v>42339</v>
      </c>
      <c r="FZ171" s="438">
        <v>42370</v>
      </c>
      <c r="GA171" s="438">
        <v>42401</v>
      </c>
      <c r="GB171" s="438">
        <v>42430</v>
      </c>
      <c r="GC171" s="438">
        <v>42461</v>
      </c>
      <c r="GD171" s="438">
        <v>42491</v>
      </c>
      <c r="GE171" s="438">
        <v>42522</v>
      </c>
      <c r="GF171" s="438">
        <v>42552</v>
      </c>
      <c r="GG171" s="438">
        <v>42583</v>
      </c>
      <c r="GH171" s="438">
        <v>42614</v>
      </c>
      <c r="GI171" s="438">
        <v>42644</v>
      </c>
      <c r="GJ171" s="438">
        <v>42675</v>
      </c>
      <c r="GK171" s="438">
        <v>42705</v>
      </c>
    </row>
    <row r="172" spans="1:193" ht="15.75" thickBot="1">
      <c r="A172" s="234" t="s">
        <v>247</v>
      </c>
      <c r="B172" s="235">
        <v>287</v>
      </c>
      <c r="C172" s="235">
        <v>345</v>
      </c>
      <c r="D172" s="235">
        <v>295</v>
      </c>
      <c r="E172" s="235">
        <v>360</v>
      </c>
      <c r="F172" s="235">
        <v>351</v>
      </c>
      <c r="G172" s="235">
        <v>389</v>
      </c>
      <c r="H172" s="235">
        <v>414</v>
      </c>
      <c r="I172" s="235">
        <v>355</v>
      </c>
      <c r="J172" s="235">
        <v>396</v>
      </c>
      <c r="K172" s="235">
        <v>451</v>
      </c>
      <c r="L172" s="235">
        <v>411</v>
      </c>
      <c r="M172" s="235">
        <v>415</v>
      </c>
      <c r="N172" s="235">
        <v>322</v>
      </c>
      <c r="O172" s="235">
        <v>327</v>
      </c>
      <c r="P172" s="235">
        <v>279</v>
      </c>
      <c r="Q172" s="235">
        <v>287</v>
      </c>
      <c r="R172" s="235">
        <v>288</v>
      </c>
      <c r="S172" s="235">
        <v>210</v>
      </c>
      <c r="T172" s="235">
        <v>331</v>
      </c>
      <c r="U172" s="235">
        <v>312</v>
      </c>
      <c r="V172" s="235">
        <v>294</v>
      </c>
      <c r="W172" s="235">
        <v>383</v>
      </c>
      <c r="X172" s="235">
        <v>374</v>
      </c>
      <c r="Y172" s="235">
        <v>355</v>
      </c>
      <c r="Z172" s="235">
        <v>298</v>
      </c>
      <c r="AA172" s="235">
        <v>347</v>
      </c>
      <c r="AB172" s="235">
        <v>344</v>
      </c>
      <c r="AC172" s="235">
        <v>360</v>
      </c>
      <c r="AD172" s="235">
        <v>362</v>
      </c>
      <c r="AE172" s="235">
        <v>336</v>
      </c>
      <c r="AF172" s="235">
        <v>362</v>
      </c>
      <c r="AG172" s="235">
        <v>363</v>
      </c>
      <c r="AH172" s="235">
        <v>356</v>
      </c>
      <c r="AI172" s="235">
        <v>291</v>
      </c>
      <c r="AJ172" s="235">
        <v>287</v>
      </c>
      <c r="AK172" s="235">
        <v>273</v>
      </c>
      <c r="AL172" s="235">
        <v>245</v>
      </c>
      <c r="AM172" s="235">
        <v>255</v>
      </c>
      <c r="AN172" s="235">
        <v>272</v>
      </c>
      <c r="AO172" s="235">
        <v>300</v>
      </c>
      <c r="AP172" s="235">
        <v>315</v>
      </c>
      <c r="AQ172" s="235">
        <v>324</v>
      </c>
      <c r="AR172" s="235">
        <v>322</v>
      </c>
      <c r="AS172" s="235">
        <v>336</v>
      </c>
      <c r="AT172" s="235">
        <v>348</v>
      </c>
      <c r="AU172" s="235">
        <v>324</v>
      </c>
      <c r="AV172" s="235">
        <v>329</v>
      </c>
      <c r="AW172" s="235">
        <v>292</v>
      </c>
      <c r="AX172" s="235">
        <v>267</v>
      </c>
      <c r="AY172" s="235">
        <v>300</v>
      </c>
      <c r="AZ172" s="235">
        <v>287</v>
      </c>
      <c r="BA172" s="235">
        <v>319</v>
      </c>
      <c r="BB172" s="235">
        <v>347</v>
      </c>
      <c r="BC172" s="235">
        <v>301</v>
      </c>
      <c r="BD172" s="235">
        <v>344</v>
      </c>
      <c r="BE172" s="235">
        <v>346</v>
      </c>
      <c r="BF172" s="235">
        <v>319</v>
      </c>
      <c r="BG172" s="235">
        <v>317</v>
      </c>
      <c r="BH172" s="235">
        <v>325</v>
      </c>
      <c r="BI172" s="235">
        <v>263</v>
      </c>
      <c r="BJ172" s="235">
        <v>276</v>
      </c>
      <c r="BK172" s="235">
        <v>322</v>
      </c>
      <c r="BL172" s="235">
        <v>301</v>
      </c>
      <c r="BM172" s="235">
        <v>336</v>
      </c>
      <c r="BN172" s="235">
        <v>374</v>
      </c>
      <c r="BO172" s="235">
        <v>383</v>
      </c>
      <c r="BP172" s="235">
        <v>395</v>
      </c>
      <c r="BQ172" s="235">
        <v>439</v>
      </c>
      <c r="BR172" s="235">
        <v>507</v>
      </c>
      <c r="BS172" s="235">
        <v>476</v>
      </c>
      <c r="BT172" s="235">
        <v>446</v>
      </c>
      <c r="BU172" s="235">
        <v>444</v>
      </c>
      <c r="BV172" s="235">
        <v>398</v>
      </c>
      <c r="BW172" s="235">
        <v>448</v>
      </c>
      <c r="BX172" s="235">
        <v>461</v>
      </c>
      <c r="BY172" s="235">
        <v>494</v>
      </c>
      <c r="BZ172" s="235">
        <v>553</v>
      </c>
      <c r="CA172" s="235">
        <v>513</v>
      </c>
      <c r="CB172" s="235">
        <v>554</v>
      </c>
      <c r="CC172" s="235">
        <v>516</v>
      </c>
      <c r="CD172" s="235">
        <v>561</v>
      </c>
      <c r="CE172" s="235">
        <v>594</v>
      </c>
      <c r="CF172" s="440">
        <v>609</v>
      </c>
      <c r="CG172" s="440">
        <v>539</v>
      </c>
      <c r="CH172" s="440">
        <v>564</v>
      </c>
      <c r="CI172" s="440">
        <v>777</v>
      </c>
      <c r="CJ172" s="440">
        <v>830</v>
      </c>
      <c r="CK172" s="440">
        <v>875</v>
      </c>
      <c r="CL172" s="440">
        <v>885</v>
      </c>
      <c r="CM172" s="440">
        <v>905</v>
      </c>
      <c r="CN172" s="440">
        <v>1068</v>
      </c>
      <c r="CO172" s="440">
        <v>1051</v>
      </c>
      <c r="CP172" s="440">
        <v>1146</v>
      </c>
      <c r="CQ172" s="440">
        <v>1191</v>
      </c>
      <c r="CR172" s="440">
        <v>1155</v>
      </c>
      <c r="CS172" s="440">
        <v>1005</v>
      </c>
      <c r="CT172" s="440">
        <v>893</v>
      </c>
      <c r="CU172" s="440">
        <v>996</v>
      </c>
      <c r="CV172" s="440">
        <v>1026</v>
      </c>
      <c r="CW172" s="440">
        <v>1104</v>
      </c>
      <c r="CX172" s="440">
        <v>1148</v>
      </c>
      <c r="CY172" s="440">
        <v>1166</v>
      </c>
      <c r="CZ172" s="440">
        <v>1222</v>
      </c>
      <c r="DA172" s="440">
        <v>1218</v>
      </c>
      <c r="DB172" s="440">
        <v>1146</v>
      </c>
      <c r="DC172" s="440">
        <v>1139</v>
      </c>
      <c r="DD172" s="440">
        <v>1196</v>
      </c>
      <c r="DE172" s="440">
        <v>1117</v>
      </c>
      <c r="DF172" s="440">
        <v>1067</v>
      </c>
      <c r="DG172" s="440">
        <v>1083</v>
      </c>
      <c r="DH172" s="440">
        <v>1154</v>
      </c>
      <c r="DI172" s="440">
        <v>1192</v>
      </c>
      <c r="DJ172" s="440">
        <v>1270</v>
      </c>
      <c r="DK172" s="440">
        <v>1286</v>
      </c>
      <c r="DL172" s="440">
        <v>1324</v>
      </c>
      <c r="DM172" s="440">
        <v>1359</v>
      </c>
      <c r="DN172" s="440">
        <v>1413</v>
      </c>
      <c r="DO172" s="440">
        <v>1400</v>
      </c>
      <c r="DP172" s="440">
        <v>1430</v>
      </c>
      <c r="DQ172" s="440">
        <v>1314</v>
      </c>
      <c r="DR172" s="440">
        <v>805</v>
      </c>
      <c r="DS172" s="440">
        <v>864</v>
      </c>
      <c r="DT172" s="440">
        <v>924</v>
      </c>
      <c r="DU172" s="440">
        <v>1034</v>
      </c>
      <c r="DV172" s="440">
        <v>1454</v>
      </c>
      <c r="DW172" s="440">
        <v>1039</v>
      </c>
      <c r="DX172" s="440">
        <v>1296</v>
      </c>
      <c r="DY172" s="440">
        <v>1264</v>
      </c>
      <c r="DZ172" s="440">
        <v>1297</v>
      </c>
      <c r="EA172" s="440">
        <v>1287</v>
      </c>
      <c r="EB172" s="440">
        <v>1298</v>
      </c>
      <c r="EC172" s="440">
        <v>1145</v>
      </c>
      <c r="ED172" s="440">
        <v>893</v>
      </c>
      <c r="EE172" s="440">
        <v>1274</v>
      </c>
      <c r="EF172" s="440">
        <v>1288</v>
      </c>
      <c r="EG172" s="440">
        <v>1227</v>
      </c>
      <c r="EH172" s="440">
        <v>1258</v>
      </c>
      <c r="EI172" s="440">
        <v>1236</v>
      </c>
      <c r="EJ172" s="440">
        <v>1196</v>
      </c>
      <c r="EK172" s="440">
        <v>1189</v>
      </c>
      <c r="EL172" s="440">
        <v>1095</v>
      </c>
      <c r="EM172" s="440">
        <v>1248</v>
      </c>
      <c r="EN172" s="440">
        <v>1126</v>
      </c>
      <c r="EO172" s="440">
        <v>885</v>
      </c>
      <c r="EP172" s="440">
        <v>730</v>
      </c>
      <c r="EQ172" s="440">
        <v>827</v>
      </c>
      <c r="ER172" s="440">
        <v>867</v>
      </c>
      <c r="ES172" s="440">
        <v>1000</v>
      </c>
      <c r="ET172" s="440">
        <v>960</v>
      </c>
      <c r="EU172" s="440">
        <v>882</v>
      </c>
      <c r="EV172" s="440">
        <v>964</v>
      </c>
      <c r="EW172" s="440">
        <v>903</v>
      </c>
      <c r="EX172" s="440">
        <v>876</v>
      </c>
      <c r="EY172" s="440">
        <v>915</v>
      </c>
      <c r="EZ172" s="440">
        <v>865</v>
      </c>
      <c r="FA172" s="440">
        <v>708</v>
      </c>
      <c r="FB172" s="440">
        <v>721</v>
      </c>
      <c r="FC172" s="440">
        <v>796</v>
      </c>
      <c r="FD172" s="440">
        <v>831</v>
      </c>
      <c r="FE172" s="440">
        <v>854</v>
      </c>
      <c r="FF172" s="440">
        <v>877</v>
      </c>
      <c r="FG172" s="440">
        <v>888</v>
      </c>
      <c r="FH172" s="440">
        <v>819</v>
      </c>
      <c r="FI172" s="440">
        <v>857</v>
      </c>
      <c r="FJ172" s="440">
        <v>846</v>
      </c>
      <c r="FK172" s="440">
        <v>826</v>
      </c>
      <c r="FL172" s="440">
        <v>817</v>
      </c>
      <c r="FM172" s="440">
        <v>727</v>
      </c>
      <c r="FN172" s="440">
        <v>632</v>
      </c>
      <c r="FO172" s="440">
        <v>768</v>
      </c>
      <c r="FP172" s="440">
        <v>999</v>
      </c>
      <c r="FQ172" s="440">
        <v>855</v>
      </c>
      <c r="FR172" s="440">
        <v>822</v>
      </c>
      <c r="FS172" s="440">
        <v>791</v>
      </c>
      <c r="FT172" s="440">
        <v>809</v>
      </c>
      <c r="FU172" s="440">
        <v>863</v>
      </c>
      <c r="FV172" s="440">
        <v>828</v>
      </c>
      <c r="FW172" s="440">
        <v>730</v>
      </c>
      <c r="FX172" s="440">
        <v>699</v>
      </c>
      <c r="FY172" s="440">
        <v>624</v>
      </c>
      <c r="FZ172" s="440">
        <v>475</v>
      </c>
      <c r="GA172" s="440">
        <v>566</v>
      </c>
      <c r="GB172" s="440">
        <v>569</v>
      </c>
      <c r="GC172" s="440">
        <v>589</v>
      </c>
      <c r="GD172" s="440">
        <v>630</v>
      </c>
      <c r="GE172" s="440">
        <v>612</v>
      </c>
      <c r="GF172" s="440">
        <v>616</v>
      </c>
      <c r="GG172" s="440">
        <v>685</v>
      </c>
      <c r="GH172" s="440">
        <v>835</v>
      </c>
      <c r="GI172" s="440">
        <v>762</v>
      </c>
      <c r="GJ172" s="440">
        <v>740</v>
      </c>
      <c r="GK172" s="429">
        <v>701</v>
      </c>
    </row>
    <row r="174" spans="1:193" ht="15.75" thickBot="1">
      <c r="A174" s="357" t="s">
        <v>333</v>
      </c>
    </row>
    <row r="175" spans="1:193" ht="15.75" thickBot="1">
      <c r="A175" s="233"/>
      <c r="B175" s="230">
        <v>36892</v>
      </c>
      <c r="C175" s="230">
        <v>36923</v>
      </c>
      <c r="D175" s="230">
        <v>36951</v>
      </c>
      <c r="E175" s="230">
        <v>36982</v>
      </c>
      <c r="F175" s="230">
        <v>37012</v>
      </c>
      <c r="G175" s="230">
        <v>37043</v>
      </c>
      <c r="H175" s="230">
        <v>37073</v>
      </c>
      <c r="I175" s="230">
        <v>37104</v>
      </c>
      <c r="J175" s="230">
        <v>37135</v>
      </c>
      <c r="K175" s="230">
        <v>37165</v>
      </c>
      <c r="L175" s="230">
        <v>37196</v>
      </c>
      <c r="M175" s="230">
        <v>37226</v>
      </c>
      <c r="N175" s="230">
        <v>37257</v>
      </c>
      <c r="O175" s="230">
        <v>37288</v>
      </c>
      <c r="P175" s="230">
        <v>37316</v>
      </c>
      <c r="Q175" s="230">
        <v>37347</v>
      </c>
      <c r="R175" s="230">
        <v>37377</v>
      </c>
      <c r="S175" s="230">
        <v>37408</v>
      </c>
      <c r="T175" s="230">
        <v>37438</v>
      </c>
      <c r="U175" s="230">
        <v>37469</v>
      </c>
      <c r="V175" s="230">
        <v>37500</v>
      </c>
      <c r="W175" s="230">
        <v>37530</v>
      </c>
      <c r="X175" s="230">
        <v>37561</v>
      </c>
      <c r="Y175" s="230">
        <v>37591</v>
      </c>
      <c r="Z175" s="230">
        <v>37622</v>
      </c>
      <c r="AA175" s="230">
        <v>37653</v>
      </c>
      <c r="AB175" s="230">
        <v>37681</v>
      </c>
      <c r="AC175" s="230">
        <v>37712</v>
      </c>
      <c r="AD175" s="230">
        <v>37742</v>
      </c>
      <c r="AE175" s="230">
        <v>37773</v>
      </c>
      <c r="AF175" s="230">
        <v>37803</v>
      </c>
      <c r="AG175" s="230">
        <v>37834</v>
      </c>
      <c r="AH175" s="230">
        <v>37865</v>
      </c>
      <c r="AI175" s="230">
        <v>37895</v>
      </c>
      <c r="AJ175" s="230">
        <v>37926</v>
      </c>
      <c r="AK175" s="230">
        <v>37956</v>
      </c>
      <c r="AL175" s="230">
        <v>37987</v>
      </c>
      <c r="AM175" s="230">
        <v>38018</v>
      </c>
      <c r="AN175" s="230">
        <v>38047</v>
      </c>
      <c r="AO175" s="230">
        <v>38078</v>
      </c>
      <c r="AP175" s="230">
        <v>38108</v>
      </c>
      <c r="AQ175" s="230">
        <v>38139</v>
      </c>
      <c r="AR175" s="230">
        <v>38169</v>
      </c>
      <c r="AS175" s="230">
        <v>38200</v>
      </c>
      <c r="AT175" s="230">
        <v>38231</v>
      </c>
      <c r="AU175" s="230">
        <v>38261</v>
      </c>
      <c r="AV175" s="230">
        <v>38292</v>
      </c>
      <c r="AW175" s="230">
        <v>38322</v>
      </c>
      <c r="AX175" s="230">
        <v>38353</v>
      </c>
      <c r="AY175" s="230">
        <v>38384</v>
      </c>
      <c r="AZ175" s="230">
        <v>38412</v>
      </c>
      <c r="BA175" s="230">
        <v>38443</v>
      </c>
      <c r="BB175" s="230">
        <v>38473</v>
      </c>
      <c r="BC175" s="230">
        <v>38504</v>
      </c>
      <c r="BD175" s="230">
        <v>38534</v>
      </c>
      <c r="BE175" s="230">
        <v>38565</v>
      </c>
      <c r="BF175" s="230">
        <v>38596</v>
      </c>
      <c r="BG175" s="230">
        <v>38626</v>
      </c>
      <c r="BH175" s="230">
        <v>38657</v>
      </c>
      <c r="BI175" s="230">
        <v>38687</v>
      </c>
      <c r="BJ175" s="230">
        <v>38718</v>
      </c>
      <c r="BK175" s="230">
        <v>38749</v>
      </c>
      <c r="BL175" s="230">
        <v>38777</v>
      </c>
      <c r="BM175" s="230">
        <v>38808</v>
      </c>
      <c r="BN175" s="230">
        <v>38838</v>
      </c>
      <c r="BO175" s="230">
        <v>38869</v>
      </c>
      <c r="BP175" s="230">
        <v>38899</v>
      </c>
      <c r="BQ175" s="230">
        <v>38930</v>
      </c>
      <c r="BR175" s="230">
        <v>38961</v>
      </c>
      <c r="BS175" s="230">
        <v>38991</v>
      </c>
      <c r="BT175" s="230">
        <v>39022</v>
      </c>
      <c r="BU175" s="230">
        <v>39052</v>
      </c>
      <c r="BV175" s="230">
        <v>39083</v>
      </c>
      <c r="BW175" s="230">
        <v>39114</v>
      </c>
      <c r="BX175" s="230">
        <v>39142</v>
      </c>
      <c r="BY175" s="230">
        <v>39173</v>
      </c>
      <c r="BZ175" s="230">
        <v>39203</v>
      </c>
      <c r="CA175" s="230">
        <v>39234</v>
      </c>
      <c r="CB175" s="230">
        <v>39264</v>
      </c>
      <c r="CC175" s="230">
        <v>39295</v>
      </c>
      <c r="CD175" s="230">
        <v>39326</v>
      </c>
      <c r="CE175" s="230">
        <v>39356</v>
      </c>
      <c r="CF175" s="438">
        <v>39387</v>
      </c>
      <c r="CG175" s="438">
        <v>39417</v>
      </c>
      <c r="CH175" s="438">
        <v>39448</v>
      </c>
      <c r="CI175" s="438">
        <v>39479</v>
      </c>
      <c r="CJ175" s="438">
        <v>39508</v>
      </c>
      <c r="CK175" s="438">
        <v>39539</v>
      </c>
      <c r="CL175" s="438">
        <v>39569</v>
      </c>
      <c r="CM175" s="438">
        <v>39600</v>
      </c>
      <c r="CN175" s="438">
        <v>39630</v>
      </c>
      <c r="CO175" s="438">
        <v>39661</v>
      </c>
      <c r="CP175" s="438">
        <v>39692</v>
      </c>
      <c r="CQ175" s="438">
        <v>39722</v>
      </c>
      <c r="CR175" s="438">
        <v>39753</v>
      </c>
      <c r="CS175" s="438">
        <v>39783</v>
      </c>
      <c r="CT175" s="438">
        <v>39814</v>
      </c>
      <c r="CU175" s="438">
        <v>39845</v>
      </c>
      <c r="CV175" s="438">
        <v>39873</v>
      </c>
      <c r="CW175" s="438">
        <v>39904</v>
      </c>
      <c r="CX175" s="438">
        <v>39934</v>
      </c>
      <c r="CY175" s="438">
        <v>39965</v>
      </c>
      <c r="CZ175" s="438">
        <v>39995</v>
      </c>
      <c r="DA175" s="438">
        <v>40026</v>
      </c>
      <c r="DB175" s="438">
        <v>40057</v>
      </c>
      <c r="DC175" s="438">
        <v>40087</v>
      </c>
      <c r="DD175" s="438">
        <v>40118</v>
      </c>
      <c r="DE175" s="438">
        <v>40148</v>
      </c>
      <c r="DF175" s="438">
        <v>40179</v>
      </c>
      <c r="DG175" s="438">
        <v>40210</v>
      </c>
      <c r="DH175" s="438">
        <v>40238</v>
      </c>
      <c r="DI175" s="438">
        <v>40269</v>
      </c>
      <c r="DJ175" s="438">
        <v>40299</v>
      </c>
      <c r="DK175" s="438">
        <v>40330</v>
      </c>
      <c r="DL175" s="438">
        <v>40360</v>
      </c>
      <c r="DM175" s="438">
        <v>40391</v>
      </c>
      <c r="DN175" s="438">
        <v>40422</v>
      </c>
      <c r="DO175" s="438">
        <v>40452</v>
      </c>
      <c r="DP175" s="438">
        <v>40483</v>
      </c>
      <c r="DQ175" s="438">
        <v>40513</v>
      </c>
      <c r="DR175" s="438">
        <v>40544</v>
      </c>
      <c r="DS175" s="438">
        <v>40575</v>
      </c>
      <c r="DT175" s="438">
        <v>40603</v>
      </c>
      <c r="DU175" s="438">
        <v>40634</v>
      </c>
      <c r="DV175" s="438">
        <v>40664</v>
      </c>
      <c r="DW175" s="438">
        <v>40695</v>
      </c>
      <c r="DX175" s="438">
        <v>40725</v>
      </c>
      <c r="DY175" s="438">
        <v>40756</v>
      </c>
      <c r="DZ175" s="438">
        <v>40787</v>
      </c>
      <c r="EA175" s="438">
        <v>40817</v>
      </c>
      <c r="EB175" s="438">
        <v>40848</v>
      </c>
      <c r="EC175" s="438">
        <v>40878</v>
      </c>
      <c r="ED175" s="438">
        <v>40909</v>
      </c>
      <c r="EE175" s="438">
        <v>40940</v>
      </c>
      <c r="EF175" s="438">
        <v>40969</v>
      </c>
      <c r="EG175" s="438">
        <v>41000</v>
      </c>
      <c r="EH175" s="438">
        <v>41030</v>
      </c>
      <c r="EI175" s="438">
        <v>41061</v>
      </c>
      <c r="EJ175" s="438">
        <v>41091</v>
      </c>
      <c r="EK175" s="438">
        <v>41122</v>
      </c>
      <c r="EL175" s="438">
        <v>41153</v>
      </c>
      <c r="EM175" s="438">
        <v>41183</v>
      </c>
      <c r="EN175" s="438">
        <v>41214</v>
      </c>
      <c r="EO175" s="438">
        <v>41244</v>
      </c>
      <c r="EP175" s="438">
        <v>41275</v>
      </c>
      <c r="EQ175" s="438">
        <v>41306</v>
      </c>
      <c r="ER175" s="438">
        <v>41334</v>
      </c>
      <c r="ES175" s="438">
        <v>41365</v>
      </c>
      <c r="ET175" s="438">
        <v>41395</v>
      </c>
      <c r="EU175" s="438">
        <v>41426</v>
      </c>
      <c r="EV175" s="438">
        <v>41456</v>
      </c>
      <c r="EW175" s="438">
        <v>41487</v>
      </c>
      <c r="EX175" s="438">
        <v>41518</v>
      </c>
      <c r="EY175" s="438">
        <v>41548</v>
      </c>
      <c r="EZ175" s="438">
        <v>41579</v>
      </c>
      <c r="FA175" s="438">
        <v>41609</v>
      </c>
      <c r="FB175" s="438">
        <v>41640</v>
      </c>
      <c r="FC175" s="438">
        <v>41671</v>
      </c>
      <c r="FD175" s="438">
        <v>41699</v>
      </c>
      <c r="FE175" s="438">
        <v>41730</v>
      </c>
      <c r="FF175" s="438">
        <v>41760</v>
      </c>
      <c r="FG175" s="438">
        <v>41791</v>
      </c>
      <c r="FH175" s="438">
        <v>41821</v>
      </c>
      <c r="FI175" s="438">
        <v>41852</v>
      </c>
      <c r="FJ175" s="438">
        <v>41883</v>
      </c>
      <c r="FK175" s="438">
        <v>41913</v>
      </c>
      <c r="FL175" s="438">
        <v>41944</v>
      </c>
      <c r="FM175" s="438">
        <v>41974</v>
      </c>
      <c r="FN175" s="438">
        <v>42005</v>
      </c>
      <c r="FO175" s="438">
        <v>42036</v>
      </c>
      <c r="FP175" s="438">
        <v>42064</v>
      </c>
      <c r="FQ175" s="438">
        <v>42095</v>
      </c>
      <c r="FR175" s="438">
        <v>42125</v>
      </c>
      <c r="FS175" s="438">
        <v>42156</v>
      </c>
      <c r="FT175" s="438">
        <v>42186</v>
      </c>
      <c r="FU175" s="438">
        <v>42217</v>
      </c>
      <c r="FV175" s="438">
        <v>42248</v>
      </c>
      <c r="FW175" s="438">
        <v>42278</v>
      </c>
      <c r="FX175" s="438">
        <v>42309</v>
      </c>
      <c r="FY175" s="438">
        <v>42339</v>
      </c>
      <c r="FZ175" s="438">
        <v>42370</v>
      </c>
      <c r="GA175" s="438">
        <v>42401</v>
      </c>
      <c r="GB175" s="438">
        <v>42430</v>
      </c>
      <c r="GC175" s="438">
        <v>42461</v>
      </c>
      <c r="GD175" s="438">
        <v>42491</v>
      </c>
      <c r="GE175" s="438">
        <v>42522</v>
      </c>
      <c r="GF175" s="438">
        <v>42552</v>
      </c>
      <c r="GG175" s="438">
        <v>42583</v>
      </c>
      <c r="GH175" s="438">
        <v>42614</v>
      </c>
      <c r="GI175" s="438">
        <v>42644</v>
      </c>
      <c r="GJ175" s="438">
        <v>42675</v>
      </c>
      <c r="GK175" s="438">
        <v>42705</v>
      </c>
    </row>
    <row r="176" spans="1:193" ht="15.75" thickBot="1">
      <c r="A176" s="234" t="s">
        <v>247</v>
      </c>
      <c r="B176" s="235">
        <v>178</v>
      </c>
      <c r="C176" s="235">
        <v>183</v>
      </c>
      <c r="D176" s="235">
        <v>185</v>
      </c>
      <c r="E176" s="235">
        <v>260</v>
      </c>
      <c r="F176" s="235">
        <v>286</v>
      </c>
      <c r="G176" s="235">
        <v>273</v>
      </c>
      <c r="H176" s="235">
        <v>317</v>
      </c>
      <c r="I176" s="235">
        <v>317</v>
      </c>
      <c r="J176" s="235">
        <v>337</v>
      </c>
      <c r="K176" s="235">
        <v>331</v>
      </c>
      <c r="L176" s="235">
        <v>297</v>
      </c>
      <c r="M176" s="235">
        <v>251</v>
      </c>
      <c r="N176" s="235">
        <v>161</v>
      </c>
      <c r="O176" s="235">
        <v>209</v>
      </c>
      <c r="P176" s="235">
        <v>150</v>
      </c>
      <c r="Q176" s="235">
        <v>176</v>
      </c>
      <c r="R176" s="235">
        <v>211</v>
      </c>
      <c r="S176" s="235">
        <v>165</v>
      </c>
      <c r="T176" s="235">
        <v>235</v>
      </c>
      <c r="U176" s="235">
        <v>240</v>
      </c>
      <c r="V176" s="235">
        <v>232</v>
      </c>
      <c r="W176" s="235">
        <v>278</v>
      </c>
      <c r="X176" s="235">
        <v>289</v>
      </c>
      <c r="Y176" s="235">
        <v>184</v>
      </c>
      <c r="Z176" s="235">
        <v>145</v>
      </c>
      <c r="AA176" s="235">
        <v>158</v>
      </c>
      <c r="AB176" s="235">
        <v>186</v>
      </c>
      <c r="AC176" s="235">
        <v>204</v>
      </c>
      <c r="AD176" s="235">
        <v>216</v>
      </c>
      <c r="AE176" s="235">
        <v>308</v>
      </c>
      <c r="AF176" s="235">
        <v>252</v>
      </c>
      <c r="AG176" s="235">
        <v>200</v>
      </c>
      <c r="AH176" s="235">
        <v>211</v>
      </c>
      <c r="AI176" s="235">
        <v>179</v>
      </c>
      <c r="AJ176" s="235">
        <v>226</v>
      </c>
      <c r="AK176" s="235">
        <v>159</v>
      </c>
      <c r="AL176" s="235">
        <v>198</v>
      </c>
      <c r="AM176" s="235">
        <v>180</v>
      </c>
      <c r="AN176" s="235">
        <v>202</v>
      </c>
      <c r="AO176" s="235">
        <v>281</v>
      </c>
      <c r="AP176" s="235">
        <v>352</v>
      </c>
      <c r="AQ176" s="235">
        <v>337</v>
      </c>
      <c r="AR176" s="235">
        <v>366</v>
      </c>
      <c r="AS176" s="235">
        <v>404</v>
      </c>
      <c r="AT176" s="235">
        <v>444</v>
      </c>
      <c r="AU176" s="235">
        <v>469</v>
      </c>
      <c r="AV176" s="235">
        <v>480</v>
      </c>
      <c r="AW176" s="235">
        <v>345</v>
      </c>
      <c r="AX176" s="235">
        <v>333</v>
      </c>
      <c r="AY176" s="235">
        <v>373</v>
      </c>
      <c r="AZ176" s="235">
        <v>434</v>
      </c>
      <c r="BA176" s="235">
        <v>398</v>
      </c>
      <c r="BB176" s="235">
        <v>437</v>
      </c>
      <c r="BC176" s="235">
        <v>412</v>
      </c>
      <c r="BD176" s="235">
        <v>441</v>
      </c>
      <c r="BE176" s="235">
        <v>432</v>
      </c>
      <c r="BF176" s="235">
        <v>440</v>
      </c>
      <c r="BG176" s="235">
        <v>474</v>
      </c>
      <c r="BH176" s="235">
        <v>558</v>
      </c>
      <c r="BI176" s="235">
        <v>349</v>
      </c>
      <c r="BJ176" s="235">
        <v>305</v>
      </c>
      <c r="BK176" s="235">
        <v>417</v>
      </c>
      <c r="BL176" s="235">
        <v>378</v>
      </c>
      <c r="BM176" s="235">
        <v>377</v>
      </c>
      <c r="BN176" s="235">
        <v>412</v>
      </c>
      <c r="BO176" s="235">
        <v>531</v>
      </c>
      <c r="BP176" s="235">
        <v>622</v>
      </c>
      <c r="BQ176" s="235">
        <v>619</v>
      </c>
      <c r="BR176" s="235">
        <v>689</v>
      </c>
      <c r="BS176" s="235">
        <v>658</v>
      </c>
      <c r="BT176" s="235">
        <v>764</v>
      </c>
      <c r="BU176" s="235">
        <v>539</v>
      </c>
      <c r="BV176" s="235">
        <v>404</v>
      </c>
      <c r="BW176" s="235">
        <v>546</v>
      </c>
      <c r="BX176" s="235">
        <v>644</v>
      </c>
      <c r="BY176" s="235">
        <v>709</v>
      </c>
      <c r="BZ176" s="235">
        <v>1179</v>
      </c>
      <c r="CA176" s="235">
        <v>1070</v>
      </c>
      <c r="CB176" s="235">
        <v>1054</v>
      </c>
      <c r="CC176" s="235">
        <v>956</v>
      </c>
      <c r="CD176" s="235">
        <v>1153</v>
      </c>
      <c r="CE176" s="235">
        <v>1289</v>
      </c>
      <c r="CF176" s="440">
        <v>1255</v>
      </c>
      <c r="CG176" s="440">
        <v>1151</v>
      </c>
      <c r="CH176" s="440">
        <v>761</v>
      </c>
      <c r="CI176" s="440">
        <v>998</v>
      </c>
      <c r="CJ176" s="440">
        <v>1120</v>
      </c>
      <c r="CK176" s="440">
        <v>1197</v>
      </c>
      <c r="CL176" s="440">
        <v>1273</v>
      </c>
      <c r="CM176" s="440">
        <v>1353</v>
      </c>
      <c r="CN176" s="440">
        <v>1503</v>
      </c>
      <c r="CO176" s="440">
        <v>1738</v>
      </c>
      <c r="CP176" s="440">
        <v>1686</v>
      </c>
      <c r="CQ176" s="440">
        <v>1759</v>
      </c>
      <c r="CR176" s="440">
        <v>1545</v>
      </c>
      <c r="CS176" s="440">
        <v>1166</v>
      </c>
      <c r="CT176" s="440">
        <v>571</v>
      </c>
      <c r="CU176" s="440">
        <v>680</v>
      </c>
      <c r="CV176" s="440">
        <v>857</v>
      </c>
      <c r="CW176" s="440">
        <v>1007</v>
      </c>
      <c r="CX176" s="440">
        <v>1159</v>
      </c>
      <c r="CY176" s="440">
        <v>1210</v>
      </c>
      <c r="CZ176" s="440">
        <v>1440</v>
      </c>
      <c r="DA176" s="440">
        <v>1431</v>
      </c>
      <c r="DB176" s="440">
        <v>1657</v>
      </c>
      <c r="DC176" s="440">
        <v>1656</v>
      </c>
      <c r="DD176" s="440">
        <v>1718</v>
      </c>
      <c r="DE176" s="440">
        <v>1497</v>
      </c>
      <c r="DF176" s="440">
        <v>1044</v>
      </c>
      <c r="DG176" s="440">
        <v>1390</v>
      </c>
      <c r="DH176" s="440">
        <v>1691</v>
      </c>
      <c r="DI176" s="440">
        <v>1882</v>
      </c>
      <c r="DJ176" s="440">
        <v>2114</v>
      </c>
      <c r="DK176" s="440">
        <v>2150</v>
      </c>
      <c r="DL176" s="440">
        <v>2305</v>
      </c>
      <c r="DM176" s="440">
        <v>2177</v>
      </c>
      <c r="DN176" s="440">
        <v>2302</v>
      </c>
      <c r="DO176" s="440">
        <v>2298</v>
      </c>
      <c r="DP176" s="440">
        <v>2282</v>
      </c>
      <c r="DQ176" s="440">
        <v>1795</v>
      </c>
      <c r="DR176" s="440">
        <v>1249</v>
      </c>
      <c r="DS176" s="440">
        <v>1503</v>
      </c>
      <c r="DT176" s="440">
        <v>1998</v>
      </c>
      <c r="DU176" s="440">
        <v>2255</v>
      </c>
      <c r="DV176" s="440">
        <v>2926</v>
      </c>
      <c r="DW176" s="440">
        <v>2611</v>
      </c>
      <c r="DX176" s="440">
        <v>2370</v>
      </c>
      <c r="DY176" s="440">
        <v>2625</v>
      </c>
      <c r="DZ176" s="440">
        <v>2929</v>
      </c>
      <c r="EA176" s="440">
        <v>2812</v>
      </c>
      <c r="EB176" s="440">
        <v>3004</v>
      </c>
      <c r="EC176" s="440">
        <v>2285</v>
      </c>
      <c r="ED176" s="440">
        <v>1457</v>
      </c>
      <c r="EE176" s="440">
        <v>2347</v>
      </c>
      <c r="EF176" s="440">
        <v>2350</v>
      </c>
      <c r="EG176" s="440">
        <v>2229</v>
      </c>
      <c r="EH176" s="440">
        <v>2435</v>
      </c>
      <c r="EI176" s="440">
        <v>2226</v>
      </c>
      <c r="EJ176" s="440">
        <v>2238</v>
      </c>
      <c r="EK176" s="440">
        <v>2166</v>
      </c>
      <c r="EL176" s="440">
        <v>2052</v>
      </c>
      <c r="EM176" s="440">
        <v>1965</v>
      </c>
      <c r="EN176" s="440">
        <v>2039</v>
      </c>
      <c r="EO176" s="440">
        <v>1454</v>
      </c>
      <c r="EP176" s="440">
        <v>828</v>
      </c>
      <c r="EQ176" s="440">
        <v>1287</v>
      </c>
      <c r="ER176" s="440">
        <v>1320</v>
      </c>
      <c r="ES176" s="440">
        <v>1472</v>
      </c>
      <c r="ET176" s="440">
        <v>1486</v>
      </c>
      <c r="EU176" s="440">
        <v>1445</v>
      </c>
      <c r="EV176" s="440">
        <v>1454</v>
      </c>
      <c r="EW176" s="440">
        <v>1902</v>
      </c>
      <c r="EX176" s="440">
        <v>1684</v>
      </c>
      <c r="EY176" s="440">
        <v>1557</v>
      </c>
      <c r="EZ176" s="440">
        <v>1601</v>
      </c>
      <c r="FA176" s="440">
        <v>1281</v>
      </c>
      <c r="FB176" s="440">
        <v>974</v>
      </c>
      <c r="FC176" s="440">
        <v>1201</v>
      </c>
      <c r="FD176" s="440">
        <v>1272</v>
      </c>
      <c r="FE176" s="440">
        <v>1415</v>
      </c>
      <c r="FF176" s="440">
        <v>1668</v>
      </c>
      <c r="FG176" s="440">
        <v>1628</v>
      </c>
      <c r="FH176" s="440">
        <v>1407</v>
      </c>
      <c r="FI176" s="440">
        <v>1383</v>
      </c>
      <c r="FJ176" s="440">
        <v>1559</v>
      </c>
      <c r="FK176" s="440">
        <v>1634</v>
      </c>
      <c r="FL176" s="440">
        <v>1763</v>
      </c>
      <c r="FM176" s="440">
        <v>1126</v>
      </c>
      <c r="FN176" s="440">
        <v>634</v>
      </c>
      <c r="FO176" s="440">
        <v>1128</v>
      </c>
      <c r="FP176" s="440">
        <v>1336</v>
      </c>
      <c r="FQ176" s="440">
        <v>1307</v>
      </c>
      <c r="FR176" s="440">
        <v>1503</v>
      </c>
      <c r="FS176" s="440">
        <v>1602</v>
      </c>
      <c r="FT176" s="440">
        <v>1712</v>
      </c>
      <c r="FU176" s="440">
        <v>1758</v>
      </c>
      <c r="FV176" s="440">
        <v>1982</v>
      </c>
      <c r="FW176" s="440">
        <v>1706</v>
      </c>
      <c r="FX176" s="440">
        <v>1692</v>
      </c>
      <c r="FY176" s="440">
        <v>1280</v>
      </c>
      <c r="FZ176" s="440">
        <v>552</v>
      </c>
      <c r="GA176" s="440">
        <v>1152</v>
      </c>
      <c r="GB176" s="440">
        <v>1439</v>
      </c>
      <c r="GC176" s="440">
        <v>1606</v>
      </c>
      <c r="GD176" s="440">
        <v>1633</v>
      </c>
      <c r="GE176" s="440">
        <v>1501</v>
      </c>
      <c r="GF176" s="440">
        <v>1551</v>
      </c>
      <c r="GG176" s="440">
        <v>1747</v>
      </c>
      <c r="GH176" s="440">
        <v>1716</v>
      </c>
      <c r="GI176" s="440">
        <v>1733</v>
      </c>
      <c r="GJ176" s="440">
        <v>1928</v>
      </c>
      <c r="GK176" s="429">
        <v>1326</v>
      </c>
    </row>
    <row r="178" spans="1:193" ht="15.75" thickBot="1">
      <c r="A178" s="357" t="s">
        <v>334</v>
      </c>
    </row>
    <row r="179" spans="1:193" ht="15.75" thickBot="1">
      <c r="A179" s="233"/>
      <c r="B179" s="230">
        <v>36892</v>
      </c>
      <c r="C179" s="230">
        <v>36923</v>
      </c>
      <c r="D179" s="230">
        <v>36951</v>
      </c>
      <c r="E179" s="230">
        <v>36982</v>
      </c>
      <c r="F179" s="230">
        <v>37012</v>
      </c>
      <c r="G179" s="230">
        <v>37043</v>
      </c>
      <c r="H179" s="230">
        <v>37073</v>
      </c>
      <c r="I179" s="230">
        <v>37104</v>
      </c>
      <c r="J179" s="230">
        <v>37135</v>
      </c>
      <c r="K179" s="230">
        <v>37165</v>
      </c>
      <c r="L179" s="230">
        <v>37196</v>
      </c>
      <c r="M179" s="230">
        <v>37226</v>
      </c>
      <c r="N179" s="230">
        <v>37257</v>
      </c>
      <c r="O179" s="230">
        <v>37288</v>
      </c>
      <c r="P179" s="230">
        <v>37316</v>
      </c>
      <c r="Q179" s="230">
        <v>37347</v>
      </c>
      <c r="R179" s="230">
        <v>37377</v>
      </c>
      <c r="S179" s="230">
        <v>37408</v>
      </c>
      <c r="T179" s="230">
        <v>37438</v>
      </c>
      <c r="U179" s="230">
        <v>37469</v>
      </c>
      <c r="V179" s="230">
        <v>37500</v>
      </c>
      <c r="W179" s="230">
        <v>37530</v>
      </c>
      <c r="X179" s="230">
        <v>37561</v>
      </c>
      <c r="Y179" s="230">
        <v>37591</v>
      </c>
      <c r="Z179" s="230">
        <v>37622</v>
      </c>
      <c r="AA179" s="230">
        <v>37653</v>
      </c>
      <c r="AB179" s="230">
        <v>37681</v>
      </c>
      <c r="AC179" s="230">
        <v>37712</v>
      </c>
      <c r="AD179" s="230">
        <v>37742</v>
      </c>
      <c r="AE179" s="230">
        <v>37773</v>
      </c>
      <c r="AF179" s="230">
        <v>37803</v>
      </c>
      <c r="AG179" s="230">
        <v>37834</v>
      </c>
      <c r="AH179" s="230">
        <v>37865</v>
      </c>
      <c r="AI179" s="230">
        <v>37895</v>
      </c>
      <c r="AJ179" s="230">
        <v>37926</v>
      </c>
      <c r="AK179" s="230">
        <v>37956</v>
      </c>
      <c r="AL179" s="230">
        <v>37987</v>
      </c>
      <c r="AM179" s="230">
        <v>38018</v>
      </c>
      <c r="AN179" s="230">
        <v>38047</v>
      </c>
      <c r="AO179" s="230">
        <v>38078</v>
      </c>
      <c r="AP179" s="230">
        <v>38108</v>
      </c>
      <c r="AQ179" s="230">
        <v>38139</v>
      </c>
      <c r="AR179" s="230">
        <v>38169</v>
      </c>
      <c r="AS179" s="230">
        <v>38200</v>
      </c>
      <c r="AT179" s="230">
        <v>38231</v>
      </c>
      <c r="AU179" s="230">
        <v>38261</v>
      </c>
      <c r="AV179" s="230">
        <v>38292</v>
      </c>
      <c r="AW179" s="230">
        <v>38322</v>
      </c>
      <c r="AX179" s="230">
        <v>38353</v>
      </c>
      <c r="AY179" s="230">
        <v>38384</v>
      </c>
      <c r="AZ179" s="230">
        <v>38412</v>
      </c>
      <c r="BA179" s="230">
        <v>38443</v>
      </c>
      <c r="BB179" s="230">
        <v>38473</v>
      </c>
      <c r="BC179" s="230">
        <v>38504</v>
      </c>
      <c r="BD179" s="230">
        <v>38534</v>
      </c>
      <c r="BE179" s="230">
        <v>38565</v>
      </c>
      <c r="BF179" s="230">
        <v>38596</v>
      </c>
      <c r="BG179" s="230">
        <v>38626</v>
      </c>
      <c r="BH179" s="230">
        <v>38657</v>
      </c>
      <c r="BI179" s="230">
        <v>38687</v>
      </c>
      <c r="BJ179" s="230">
        <v>38718</v>
      </c>
      <c r="BK179" s="230">
        <v>38749</v>
      </c>
      <c r="BL179" s="230">
        <v>38777</v>
      </c>
      <c r="BM179" s="230">
        <v>38808</v>
      </c>
      <c r="BN179" s="230">
        <v>38838</v>
      </c>
      <c r="BO179" s="230">
        <v>38869</v>
      </c>
      <c r="BP179" s="230">
        <v>38899</v>
      </c>
      <c r="BQ179" s="230">
        <v>38930</v>
      </c>
      <c r="BR179" s="230">
        <v>38961</v>
      </c>
      <c r="BS179" s="230">
        <v>38991</v>
      </c>
      <c r="BT179" s="230">
        <v>39022</v>
      </c>
      <c r="BU179" s="230">
        <v>39052</v>
      </c>
      <c r="BV179" s="230">
        <v>39083</v>
      </c>
      <c r="BW179" s="230">
        <v>39114</v>
      </c>
      <c r="BX179" s="230">
        <v>39142</v>
      </c>
      <c r="BY179" s="230">
        <v>39173</v>
      </c>
      <c r="BZ179" s="230">
        <v>39203</v>
      </c>
      <c r="CA179" s="230">
        <v>39234</v>
      </c>
      <c r="CB179" s="230">
        <v>39264</v>
      </c>
      <c r="CC179" s="230">
        <v>39295</v>
      </c>
      <c r="CD179" s="230">
        <v>39326</v>
      </c>
      <c r="CE179" s="230">
        <v>39356</v>
      </c>
      <c r="CF179" s="438">
        <v>39387</v>
      </c>
      <c r="CG179" s="438">
        <v>39417</v>
      </c>
      <c r="CH179" s="438">
        <v>39448</v>
      </c>
      <c r="CI179" s="438">
        <v>39479</v>
      </c>
      <c r="CJ179" s="438">
        <v>39508</v>
      </c>
      <c r="CK179" s="438">
        <v>39539</v>
      </c>
      <c r="CL179" s="438">
        <v>39569</v>
      </c>
      <c r="CM179" s="438">
        <v>39600</v>
      </c>
      <c r="CN179" s="438">
        <v>39630</v>
      </c>
      <c r="CO179" s="438">
        <v>39661</v>
      </c>
      <c r="CP179" s="438">
        <v>39692</v>
      </c>
      <c r="CQ179" s="438">
        <v>39722</v>
      </c>
      <c r="CR179" s="438">
        <v>39753</v>
      </c>
      <c r="CS179" s="438">
        <v>39783</v>
      </c>
      <c r="CT179" s="438">
        <v>39814</v>
      </c>
      <c r="CU179" s="438">
        <v>39845</v>
      </c>
      <c r="CV179" s="438">
        <v>39873</v>
      </c>
      <c r="CW179" s="438">
        <v>39904</v>
      </c>
      <c r="CX179" s="438">
        <v>39934</v>
      </c>
      <c r="CY179" s="438">
        <v>39965</v>
      </c>
      <c r="CZ179" s="438">
        <v>39995</v>
      </c>
      <c r="DA179" s="438">
        <v>40026</v>
      </c>
      <c r="DB179" s="438">
        <v>40057</v>
      </c>
      <c r="DC179" s="438">
        <v>40087</v>
      </c>
      <c r="DD179" s="438">
        <v>40118</v>
      </c>
      <c r="DE179" s="438">
        <v>40148</v>
      </c>
      <c r="DF179" s="438">
        <v>40179</v>
      </c>
      <c r="DG179" s="438">
        <v>40210</v>
      </c>
      <c r="DH179" s="438">
        <v>40238</v>
      </c>
      <c r="DI179" s="438">
        <v>40269</v>
      </c>
      <c r="DJ179" s="438">
        <v>40299</v>
      </c>
      <c r="DK179" s="438">
        <v>40330</v>
      </c>
      <c r="DL179" s="438">
        <v>40360</v>
      </c>
      <c r="DM179" s="438">
        <v>40391</v>
      </c>
      <c r="DN179" s="438">
        <v>40422</v>
      </c>
      <c r="DO179" s="438">
        <v>40452</v>
      </c>
      <c r="DP179" s="438">
        <v>40483</v>
      </c>
      <c r="DQ179" s="438">
        <v>40513</v>
      </c>
      <c r="DR179" s="438">
        <v>40544</v>
      </c>
      <c r="DS179" s="438">
        <v>40575</v>
      </c>
      <c r="DT179" s="438">
        <v>40603</v>
      </c>
      <c r="DU179" s="438">
        <v>40634</v>
      </c>
      <c r="DV179" s="438">
        <v>40664</v>
      </c>
      <c r="DW179" s="438">
        <v>40695</v>
      </c>
      <c r="DX179" s="438">
        <v>40725</v>
      </c>
      <c r="DY179" s="438">
        <v>40756</v>
      </c>
      <c r="DZ179" s="438">
        <v>40787</v>
      </c>
      <c r="EA179" s="438">
        <v>40817</v>
      </c>
      <c r="EB179" s="438">
        <v>40848</v>
      </c>
      <c r="EC179" s="438">
        <v>40878</v>
      </c>
      <c r="ED179" s="438">
        <v>40909</v>
      </c>
      <c r="EE179" s="438">
        <v>40940</v>
      </c>
      <c r="EF179" s="438">
        <v>40969</v>
      </c>
      <c r="EG179" s="438">
        <v>41000</v>
      </c>
      <c r="EH179" s="438">
        <v>41030</v>
      </c>
      <c r="EI179" s="438">
        <v>41061</v>
      </c>
      <c r="EJ179" s="438">
        <v>41091</v>
      </c>
      <c r="EK179" s="438">
        <v>41122</v>
      </c>
      <c r="EL179" s="438">
        <v>41153</v>
      </c>
      <c r="EM179" s="438">
        <v>41183</v>
      </c>
      <c r="EN179" s="438">
        <v>41214</v>
      </c>
      <c r="EO179" s="438">
        <v>41244</v>
      </c>
      <c r="EP179" s="438">
        <v>41275</v>
      </c>
      <c r="EQ179" s="438">
        <v>41306</v>
      </c>
      <c r="ER179" s="438">
        <v>41334</v>
      </c>
      <c r="ES179" s="438">
        <v>41365</v>
      </c>
      <c r="ET179" s="438">
        <v>41395</v>
      </c>
      <c r="EU179" s="438">
        <v>41426</v>
      </c>
      <c r="EV179" s="438">
        <v>41456</v>
      </c>
      <c r="EW179" s="438">
        <v>41487</v>
      </c>
      <c r="EX179" s="438">
        <v>41518</v>
      </c>
      <c r="EY179" s="438">
        <v>41548</v>
      </c>
      <c r="EZ179" s="438">
        <v>41579</v>
      </c>
      <c r="FA179" s="438">
        <v>41609</v>
      </c>
      <c r="FB179" s="438">
        <v>41640</v>
      </c>
      <c r="FC179" s="438">
        <v>41671</v>
      </c>
      <c r="FD179" s="438">
        <v>41699</v>
      </c>
      <c r="FE179" s="438">
        <v>41730</v>
      </c>
      <c r="FF179" s="438">
        <v>41760</v>
      </c>
      <c r="FG179" s="438">
        <v>41791</v>
      </c>
      <c r="FH179" s="438">
        <v>41821</v>
      </c>
      <c r="FI179" s="438">
        <v>41852</v>
      </c>
      <c r="FJ179" s="438">
        <v>41883</v>
      </c>
      <c r="FK179" s="438">
        <v>41913</v>
      </c>
      <c r="FL179" s="438">
        <v>41944</v>
      </c>
      <c r="FM179" s="438">
        <v>41974</v>
      </c>
      <c r="FN179" s="438">
        <v>42005</v>
      </c>
      <c r="FO179" s="438">
        <v>42036</v>
      </c>
      <c r="FP179" s="438">
        <v>42064</v>
      </c>
      <c r="FQ179" s="438">
        <v>42095</v>
      </c>
      <c r="FR179" s="438">
        <v>42125</v>
      </c>
      <c r="FS179" s="438">
        <v>42156</v>
      </c>
      <c r="FT179" s="438">
        <v>42186</v>
      </c>
      <c r="FU179" s="438">
        <v>42217</v>
      </c>
      <c r="FV179" s="438">
        <v>42248</v>
      </c>
      <c r="FW179" s="438">
        <v>42278</v>
      </c>
      <c r="FX179" s="438">
        <v>42309</v>
      </c>
      <c r="FY179" s="438">
        <v>42339</v>
      </c>
      <c r="FZ179" s="438">
        <v>42370</v>
      </c>
      <c r="GA179" s="438">
        <v>42401</v>
      </c>
      <c r="GB179" s="438">
        <v>42430</v>
      </c>
      <c r="GC179" s="438">
        <v>42461</v>
      </c>
      <c r="GD179" s="438">
        <v>42491</v>
      </c>
      <c r="GE179" s="438">
        <v>42522</v>
      </c>
      <c r="GF179" s="438">
        <v>42552</v>
      </c>
      <c r="GG179" s="438">
        <v>42583</v>
      </c>
      <c r="GH179" s="438">
        <v>42614</v>
      </c>
      <c r="GI179" s="438">
        <v>42644</v>
      </c>
      <c r="GJ179" s="438">
        <v>42675</v>
      </c>
      <c r="GK179" s="438">
        <v>42705</v>
      </c>
    </row>
    <row r="180" spans="1:193" ht="15.75" thickBot="1">
      <c r="A180" s="234" t="s">
        <v>247</v>
      </c>
      <c r="B180" s="235">
        <v>465</v>
      </c>
      <c r="C180" s="235">
        <v>528</v>
      </c>
      <c r="D180" s="235">
        <v>480</v>
      </c>
      <c r="E180" s="235">
        <v>620</v>
      </c>
      <c r="F180" s="235">
        <v>637</v>
      </c>
      <c r="G180" s="235">
        <v>662</v>
      </c>
      <c r="H180" s="235">
        <v>731</v>
      </c>
      <c r="I180" s="235">
        <v>672</v>
      </c>
      <c r="J180" s="235">
        <v>733</v>
      </c>
      <c r="K180" s="235">
        <v>782</v>
      </c>
      <c r="L180" s="235">
        <v>708</v>
      </c>
      <c r="M180" s="235">
        <v>666</v>
      </c>
      <c r="N180" s="235">
        <v>483</v>
      </c>
      <c r="O180" s="235">
        <v>536</v>
      </c>
      <c r="P180" s="235">
        <v>429</v>
      </c>
      <c r="Q180" s="235">
        <v>463</v>
      </c>
      <c r="R180" s="235">
        <v>499</v>
      </c>
      <c r="S180" s="235">
        <v>375</v>
      </c>
      <c r="T180" s="235">
        <v>566</v>
      </c>
      <c r="U180" s="235">
        <v>552</v>
      </c>
      <c r="V180" s="235">
        <v>526</v>
      </c>
      <c r="W180" s="235">
        <v>661</v>
      </c>
      <c r="X180" s="235">
        <v>663</v>
      </c>
      <c r="Y180" s="235">
        <v>539</v>
      </c>
      <c r="Z180" s="235">
        <v>443</v>
      </c>
      <c r="AA180" s="235">
        <v>505</v>
      </c>
      <c r="AB180" s="235">
        <v>530</v>
      </c>
      <c r="AC180" s="235">
        <v>564</v>
      </c>
      <c r="AD180" s="235">
        <v>578</v>
      </c>
      <c r="AE180" s="235">
        <v>644</v>
      </c>
      <c r="AF180" s="235">
        <v>614</v>
      </c>
      <c r="AG180" s="235">
        <v>563</v>
      </c>
      <c r="AH180" s="235">
        <v>567</v>
      </c>
      <c r="AI180" s="235">
        <v>470</v>
      </c>
      <c r="AJ180" s="235">
        <v>513</v>
      </c>
      <c r="AK180" s="235">
        <v>432</v>
      </c>
      <c r="AL180" s="235">
        <v>443</v>
      </c>
      <c r="AM180" s="235">
        <v>435</v>
      </c>
      <c r="AN180" s="235">
        <v>474</v>
      </c>
      <c r="AO180" s="235">
        <v>581</v>
      </c>
      <c r="AP180" s="235">
        <v>667</v>
      </c>
      <c r="AQ180" s="235">
        <v>661</v>
      </c>
      <c r="AR180" s="235">
        <v>688</v>
      </c>
      <c r="AS180" s="235">
        <v>740</v>
      </c>
      <c r="AT180" s="235">
        <v>792</v>
      </c>
      <c r="AU180" s="235">
        <v>793</v>
      </c>
      <c r="AV180" s="235">
        <v>809</v>
      </c>
      <c r="AW180" s="235">
        <v>637</v>
      </c>
      <c r="AX180" s="235">
        <v>600</v>
      </c>
      <c r="AY180" s="235">
        <v>673</v>
      </c>
      <c r="AZ180" s="235">
        <v>721</v>
      </c>
      <c r="BA180" s="235">
        <v>717</v>
      </c>
      <c r="BB180" s="235">
        <v>784</v>
      </c>
      <c r="BC180" s="235">
        <v>713</v>
      </c>
      <c r="BD180" s="235">
        <v>785</v>
      </c>
      <c r="BE180" s="235">
        <v>778</v>
      </c>
      <c r="BF180" s="235">
        <v>759</v>
      </c>
      <c r="BG180" s="235">
        <v>791</v>
      </c>
      <c r="BH180" s="235">
        <v>883</v>
      </c>
      <c r="BI180" s="235">
        <v>612</v>
      </c>
      <c r="BJ180" s="235">
        <v>581</v>
      </c>
      <c r="BK180" s="235">
        <v>739</v>
      </c>
      <c r="BL180" s="235">
        <v>679</v>
      </c>
      <c r="BM180" s="235">
        <v>713</v>
      </c>
      <c r="BN180" s="235">
        <v>786</v>
      </c>
      <c r="BO180" s="235">
        <v>914</v>
      </c>
      <c r="BP180" s="235">
        <v>1017</v>
      </c>
      <c r="BQ180" s="235">
        <v>1058</v>
      </c>
      <c r="BR180" s="235">
        <v>1196</v>
      </c>
      <c r="BS180" s="235">
        <v>1134</v>
      </c>
      <c r="BT180" s="235">
        <v>1210</v>
      </c>
      <c r="BU180" s="235">
        <v>983</v>
      </c>
      <c r="BV180" s="235">
        <v>802</v>
      </c>
      <c r="BW180" s="235">
        <v>994</v>
      </c>
      <c r="BX180" s="235">
        <v>1105</v>
      </c>
      <c r="BY180" s="235">
        <v>1203</v>
      </c>
      <c r="BZ180" s="235">
        <v>1732</v>
      </c>
      <c r="CA180" s="235">
        <v>1583</v>
      </c>
      <c r="CB180" s="235">
        <v>1608</v>
      </c>
      <c r="CC180" s="235">
        <v>1472</v>
      </c>
      <c r="CD180" s="235">
        <v>1714</v>
      </c>
      <c r="CE180" s="235">
        <v>1883</v>
      </c>
      <c r="CF180" s="440">
        <v>1864</v>
      </c>
      <c r="CG180" s="440">
        <v>1690</v>
      </c>
      <c r="CH180" s="440">
        <v>1325</v>
      </c>
      <c r="CI180" s="440">
        <v>1775</v>
      </c>
      <c r="CJ180" s="440">
        <v>1950</v>
      </c>
      <c r="CK180" s="440">
        <v>2072</v>
      </c>
      <c r="CL180" s="440">
        <v>2158</v>
      </c>
      <c r="CM180" s="440">
        <v>2258</v>
      </c>
      <c r="CN180" s="440">
        <v>2571</v>
      </c>
      <c r="CO180" s="440">
        <v>2789</v>
      </c>
      <c r="CP180" s="440">
        <v>2832</v>
      </c>
      <c r="CQ180" s="440">
        <v>2950</v>
      </c>
      <c r="CR180" s="440">
        <v>2700</v>
      </c>
      <c r="CS180" s="440">
        <v>2171</v>
      </c>
      <c r="CT180" s="440">
        <v>1464</v>
      </c>
      <c r="CU180" s="440">
        <v>1676</v>
      </c>
      <c r="CV180" s="440">
        <v>1883</v>
      </c>
      <c r="CW180" s="440">
        <v>2111</v>
      </c>
      <c r="CX180" s="440">
        <v>2307</v>
      </c>
      <c r="CY180" s="440">
        <v>2376</v>
      </c>
      <c r="CZ180" s="440">
        <v>2662</v>
      </c>
      <c r="DA180" s="440">
        <v>2649</v>
      </c>
      <c r="DB180" s="440">
        <v>2803</v>
      </c>
      <c r="DC180" s="440">
        <v>2795</v>
      </c>
      <c r="DD180" s="440">
        <v>2914</v>
      </c>
      <c r="DE180" s="440">
        <v>2614</v>
      </c>
      <c r="DF180" s="440">
        <v>2111</v>
      </c>
      <c r="DG180" s="440">
        <v>2473</v>
      </c>
      <c r="DH180" s="440">
        <v>2845</v>
      </c>
      <c r="DI180" s="440">
        <v>3074</v>
      </c>
      <c r="DJ180" s="440">
        <v>3384</v>
      </c>
      <c r="DK180" s="440">
        <v>3436</v>
      </c>
      <c r="DL180" s="440">
        <v>3629</v>
      </c>
      <c r="DM180" s="440">
        <v>3536</v>
      </c>
      <c r="DN180" s="440">
        <v>3715</v>
      </c>
      <c r="DO180" s="440">
        <v>3698</v>
      </c>
      <c r="DP180" s="440">
        <v>3712</v>
      </c>
      <c r="DQ180" s="440">
        <v>3109</v>
      </c>
      <c r="DR180" s="440">
        <v>2054</v>
      </c>
      <c r="DS180" s="440">
        <v>2367</v>
      </c>
      <c r="DT180" s="440">
        <v>2922</v>
      </c>
      <c r="DU180" s="440">
        <v>3289</v>
      </c>
      <c r="DV180" s="440">
        <v>4380</v>
      </c>
      <c r="DW180" s="440">
        <v>3650</v>
      </c>
      <c r="DX180" s="440">
        <v>3666</v>
      </c>
      <c r="DY180" s="440">
        <v>3889</v>
      </c>
      <c r="DZ180" s="440">
        <v>4226</v>
      </c>
      <c r="EA180" s="440">
        <v>4099</v>
      </c>
      <c r="EB180" s="440">
        <v>4302</v>
      </c>
      <c r="EC180" s="440">
        <v>3430</v>
      </c>
      <c r="ED180" s="440">
        <v>2350</v>
      </c>
      <c r="EE180" s="440">
        <v>3621</v>
      </c>
      <c r="EF180" s="440">
        <v>3638</v>
      </c>
      <c r="EG180" s="440">
        <v>3456</v>
      </c>
      <c r="EH180" s="440">
        <v>3693</v>
      </c>
      <c r="EI180" s="440">
        <v>3462</v>
      </c>
      <c r="EJ180" s="440">
        <v>3434</v>
      </c>
      <c r="EK180" s="440">
        <v>3355</v>
      </c>
      <c r="EL180" s="440">
        <v>3147</v>
      </c>
      <c r="EM180" s="440">
        <v>3213</v>
      </c>
      <c r="EN180" s="440">
        <v>3165</v>
      </c>
      <c r="EO180" s="440">
        <v>2339</v>
      </c>
      <c r="EP180" s="440">
        <v>1558</v>
      </c>
      <c r="EQ180" s="440">
        <v>2114</v>
      </c>
      <c r="ER180" s="440">
        <v>2187</v>
      </c>
      <c r="ES180" s="440">
        <v>2472</v>
      </c>
      <c r="ET180" s="440">
        <v>2446</v>
      </c>
      <c r="EU180" s="440">
        <v>2327</v>
      </c>
      <c r="EV180" s="440">
        <v>2418</v>
      </c>
      <c r="EW180" s="440">
        <v>2805</v>
      </c>
      <c r="EX180" s="440">
        <v>2560</v>
      </c>
      <c r="EY180" s="440">
        <v>2472</v>
      </c>
      <c r="EZ180" s="440">
        <v>2466</v>
      </c>
      <c r="FA180" s="440">
        <v>1989</v>
      </c>
      <c r="FB180" s="440">
        <v>1695</v>
      </c>
      <c r="FC180" s="440">
        <v>1997</v>
      </c>
      <c r="FD180" s="440">
        <v>2103</v>
      </c>
      <c r="FE180" s="440">
        <v>2269</v>
      </c>
      <c r="FF180" s="440">
        <v>2545</v>
      </c>
      <c r="FG180" s="440">
        <v>2516</v>
      </c>
      <c r="FH180" s="440">
        <v>2226</v>
      </c>
      <c r="FI180" s="440">
        <v>2240</v>
      </c>
      <c r="FJ180" s="440">
        <v>2405</v>
      </c>
      <c r="FK180" s="440">
        <v>2460</v>
      </c>
      <c r="FL180" s="440">
        <v>2580</v>
      </c>
      <c r="FM180" s="440">
        <v>1853</v>
      </c>
      <c r="FN180" s="440">
        <v>1266</v>
      </c>
      <c r="FO180" s="440">
        <v>1896</v>
      </c>
      <c r="FP180" s="440">
        <v>2335</v>
      </c>
      <c r="FQ180" s="440">
        <v>2162</v>
      </c>
      <c r="FR180" s="440">
        <v>2325</v>
      </c>
      <c r="FS180" s="440">
        <v>2393</v>
      </c>
      <c r="FT180" s="440">
        <v>2521</v>
      </c>
      <c r="FU180" s="440">
        <v>2621</v>
      </c>
      <c r="FV180" s="440">
        <v>2810</v>
      </c>
      <c r="FW180" s="440">
        <v>2436</v>
      </c>
      <c r="FX180" s="440">
        <v>2391</v>
      </c>
      <c r="FY180" s="440">
        <v>1904</v>
      </c>
      <c r="FZ180" s="440">
        <v>1027</v>
      </c>
      <c r="GA180" s="440">
        <v>1718</v>
      </c>
      <c r="GB180" s="440">
        <v>2008</v>
      </c>
      <c r="GC180" s="440">
        <v>2195</v>
      </c>
      <c r="GD180" s="440">
        <v>2263</v>
      </c>
      <c r="GE180" s="440">
        <v>2113</v>
      </c>
      <c r="GF180" s="440">
        <v>2167</v>
      </c>
      <c r="GG180" s="440">
        <v>2432</v>
      </c>
      <c r="GH180" s="440">
        <v>2551</v>
      </c>
      <c r="GI180" s="440">
        <v>2495</v>
      </c>
      <c r="GJ180" s="440">
        <v>2668</v>
      </c>
      <c r="GK180" s="429">
        <v>2027</v>
      </c>
    </row>
    <row r="185" spans="1:193">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4"/>
      <c r="BW185" s="354"/>
      <c r="BX185" s="354"/>
      <c r="BY185" s="354"/>
      <c r="BZ185" s="354"/>
      <c r="CA185" s="354"/>
      <c r="CB185" s="354"/>
      <c r="CC185" s="354"/>
      <c r="CD185" s="354"/>
      <c r="CE185" s="354"/>
      <c r="CF185" s="354"/>
      <c r="CG185" s="354"/>
      <c r="CH185" s="354"/>
      <c r="CI185" s="354"/>
      <c r="CJ185" s="354"/>
      <c r="CK185" s="354"/>
      <c r="CL185" s="354"/>
      <c r="CM185" s="354"/>
      <c r="CN185" s="354"/>
      <c r="CO185" s="354"/>
      <c r="CP185" s="354"/>
      <c r="CQ185" s="354"/>
      <c r="CR185" s="354"/>
      <c r="CS185" s="354"/>
      <c r="CT185" s="354"/>
      <c r="CU185" s="354"/>
      <c r="CV185" s="354"/>
      <c r="CW185" s="354"/>
      <c r="CX185" s="354"/>
      <c r="CY185" s="354"/>
      <c r="CZ185" s="354"/>
      <c r="DA185" s="354"/>
      <c r="DB185" s="354"/>
      <c r="DC185" s="354"/>
      <c r="DD185" s="354"/>
      <c r="DE185" s="354"/>
      <c r="DF185" s="354"/>
      <c r="DG185" s="354"/>
      <c r="DH185" s="354"/>
      <c r="DI185" s="354"/>
      <c r="DJ185" s="354"/>
      <c r="DK185" s="354"/>
      <c r="DL185" s="354"/>
      <c r="DM185" s="354"/>
      <c r="DN185" s="354"/>
      <c r="DO185" s="354"/>
      <c r="DP185" s="354"/>
      <c r="DQ185" s="354"/>
      <c r="DR185" s="354"/>
      <c r="DS185" s="354"/>
      <c r="DT185" s="354"/>
      <c r="DU185" s="354"/>
      <c r="DV185" s="354"/>
      <c r="DW185" s="354"/>
      <c r="DX185" s="354"/>
      <c r="DY185" s="354"/>
      <c r="DZ185" s="354"/>
      <c r="EA185" s="354"/>
      <c r="EB185" s="354"/>
      <c r="EC185" s="354"/>
      <c r="ED185" s="354"/>
      <c r="EE185" s="354"/>
      <c r="EF185" s="354"/>
      <c r="EG185" s="354"/>
      <c r="EH185" s="354"/>
      <c r="EI185" s="354"/>
      <c r="EJ185" s="354"/>
      <c r="EK185" s="354"/>
      <c r="EL185" s="354"/>
      <c r="EM185" s="354"/>
      <c r="EN185" s="354"/>
      <c r="EO185" s="354"/>
      <c r="EP185" s="354"/>
      <c r="EQ185" s="354"/>
      <c r="ER185" s="354"/>
      <c r="ES185" s="354"/>
      <c r="ET185" s="354"/>
      <c r="EU185" s="354"/>
      <c r="EV185" s="354"/>
      <c r="EW185" s="354"/>
      <c r="EX185" s="354"/>
      <c r="EY185" s="354"/>
      <c r="EZ185" s="354"/>
      <c r="FA185" s="354"/>
      <c r="FB185" s="354"/>
      <c r="FC185" s="354"/>
      <c r="FD185" s="354"/>
      <c r="FE185" s="354"/>
      <c r="FF185" s="354"/>
      <c r="FG185" s="354"/>
      <c r="FH185" s="354"/>
      <c r="FI185" s="354"/>
      <c r="FJ185" s="354"/>
      <c r="FK185" s="354"/>
      <c r="FL185" s="354"/>
      <c r="FM185" s="354"/>
      <c r="FN185" s="354"/>
      <c r="FO185" s="354"/>
      <c r="FP185" s="354"/>
      <c r="FQ185" s="354"/>
      <c r="FR185" s="354"/>
      <c r="FS185" s="354"/>
      <c r="FT185" s="354"/>
      <c r="FU185" s="354"/>
      <c r="FV185" s="354"/>
      <c r="FW185" s="354"/>
      <c r="FX185" s="354"/>
      <c r="FY185" s="354"/>
      <c r="FZ185" s="354"/>
      <c r="GA185" s="354"/>
      <c r="GB185" s="354"/>
      <c r="GC185" s="354"/>
      <c r="GD185" s="354"/>
      <c r="GE185" s="354"/>
    </row>
    <row r="187" spans="1:193">
      <c r="AF187" s="354"/>
      <c r="AG187" s="354"/>
      <c r="AH187" s="354"/>
      <c r="AI187" s="354"/>
    </row>
    <row r="222" spans="2:15" ht="46.5" customHeight="1">
      <c r="B222" s="661" t="s">
        <v>609</v>
      </c>
      <c r="C222" s="661"/>
      <c r="D222" s="661"/>
      <c r="E222" s="661"/>
      <c r="F222" s="661"/>
      <c r="G222" s="661"/>
      <c r="H222" s="661"/>
      <c r="I222" s="661"/>
      <c r="J222" s="661"/>
      <c r="K222" s="661"/>
      <c r="L222" s="661"/>
      <c r="M222" s="661"/>
      <c r="N222" s="661"/>
      <c r="O222" s="661"/>
    </row>
  </sheetData>
  <mergeCells count="1">
    <mergeCell ref="B222:O22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workbookViewId="0"/>
  </sheetViews>
  <sheetFormatPr defaultRowHeight="15"/>
  <cols>
    <col min="1" max="1" width="52.85546875" style="428" bestFit="1" customWidth="1"/>
    <col min="2" max="2" width="3.28515625" style="428" customWidth="1"/>
    <col min="3" max="6" width="9" style="428" customWidth="1"/>
    <col min="7" max="16" width="10.28515625" style="428" bestFit="1" customWidth="1"/>
    <col min="17" max="16384" width="9.140625" style="428"/>
  </cols>
  <sheetData>
    <row r="1" spans="1:16">
      <c r="C1" s="343"/>
      <c r="D1" s="343"/>
      <c r="E1" s="343"/>
      <c r="F1" s="343"/>
      <c r="G1" s="343"/>
      <c r="H1" s="343"/>
      <c r="I1" s="343"/>
      <c r="J1" s="343"/>
      <c r="K1" s="343"/>
      <c r="L1" s="343"/>
      <c r="M1" s="343"/>
      <c r="N1" s="343"/>
      <c r="O1" s="343"/>
      <c r="P1" s="343"/>
    </row>
    <row r="5" spans="1:16">
      <c r="A5" s="502" t="s">
        <v>184</v>
      </c>
      <c r="B5" s="502"/>
      <c r="C5" s="185"/>
      <c r="D5" s="185"/>
      <c r="E5" s="185"/>
      <c r="F5" s="185"/>
      <c r="G5" s="185"/>
      <c r="H5" s="185"/>
      <c r="I5" s="153"/>
      <c r="J5" s="184"/>
      <c r="K5" s="184"/>
      <c r="L5" s="184"/>
      <c r="M5" s="184"/>
      <c r="N5" s="184"/>
      <c r="O5" s="184"/>
      <c r="P5" s="184"/>
    </row>
    <row r="6" spans="1:16" ht="15.75" thickBot="1">
      <c r="A6" s="502" t="s">
        <v>177</v>
      </c>
      <c r="B6" s="502"/>
      <c r="C6" s="185"/>
      <c r="D6" s="185"/>
      <c r="E6" s="185"/>
      <c r="F6" s="185"/>
      <c r="G6" s="154"/>
      <c r="H6" s="154"/>
      <c r="I6" s="154"/>
      <c r="J6" s="155"/>
      <c r="K6" s="155"/>
      <c r="L6" s="155"/>
      <c r="M6" s="155"/>
      <c r="N6" s="184"/>
      <c r="O6" s="184"/>
      <c r="P6" s="184"/>
    </row>
    <row r="7" spans="1:16" ht="15.75" thickBot="1">
      <c r="A7" s="355" t="s">
        <v>339</v>
      </c>
      <c r="B7" s="157"/>
      <c r="C7" s="156">
        <v>1987</v>
      </c>
      <c r="D7" s="156">
        <v>1988</v>
      </c>
      <c r="E7" s="156">
        <v>1989</v>
      </c>
      <c r="F7" s="156">
        <v>1990</v>
      </c>
      <c r="G7" s="156">
        <v>1991</v>
      </c>
      <c r="H7" s="156">
        <v>1992</v>
      </c>
      <c r="I7" s="156">
        <v>1993</v>
      </c>
      <c r="J7" s="156">
        <v>1994</v>
      </c>
      <c r="K7" s="156">
        <v>1995</v>
      </c>
      <c r="L7" s="156">
        <v>1996</v>
      </c>
      <c r="M7" s="156">
        <v>1997</v>
      </c>
      <c r="N7" s="156">
        <v>1998</v>
      </c>
      <c r="O7" s="157">
        <v>1999</v>
      </c>
      <c r="P7" s="158">
        <v>2000</v>
      </c>
    </row>
    <row r="8" spans="1:16">
      <c r="A8" s="159" t="s">
        <v>179</v>
      </c>
      <c r="B8" s="349"/>
      <c r="C8" s="348">
        <v>160</v>
      </c>
      <c r="D8" s="348">
        <v>138</v>
      </c>
      <c r="E8" s="348">
        <v>249</v>
      </c>
      <c r="F8" s="348">
        <v>451</v>
      </c>
      <c r="G8" s="348">
        <v>485</v>
      </c>
      <c r="H8" s="348">
        <v>620</v>
      </c>
      <c r="I8" s="348">
        <v>632</v>
      </c>
      <c r="J8" s="348">
        <v>492</v>
      </c>
      <c r="K8" s="348">
        <v>639</v>
      </c>
      <c r="L8" s="348">
        <v>766</v>
      </c>
      <c r="M8" s="348">
        <v>1025</v>
      </c>
      <c r="N8" s="349">
        <v>1210</v>
      </c>
      <c r="O8" s="349">
        <v>1205</v>
      </c>
      <c r="P8" s="430">
        <v>1331</v>
      </c>
    </row>
    <row r="9" spans="1:16">
      <c r="A9" s="159" t="s">
        <v>97</v>
      </c>
      <c r="B9" s="350"/>
      <c r="C9" s="442">
        <v>4022</v>
      </c>
      <c r="D9" s="442">
        <v>4654</v>
      </c>
      <c r="E9" s="442">
        <v>5060</v>
      </c>
      <c r="F9" s="442">
        <v>5535</v>
      </c>
      <c r="G9" s="442">
        <v>5184</v>
      </c>
      <c r="H9" s="442">
        <v>5278</v>
      </c>
      <c r="I9" s="442">
        <v>5702</v>
      </c>
      <c r="J9" s="442">
        <v>5681</v>
      </c>
      <c r="K9" s="442">
        <v>5936</v>
      </c>
      <c r="L9" s="442">
        <v>5515</v>
      </c>
      <c r="M9" s="442">
        <v>5777</v>
      </c>
      <c r="N9" s="350">
        <v>6718</v>
      </c>
      <c r="O9" s="350">
        <v>7605</v>
      </c>
      <c r="P9" s="431">
        <v>6706</v>
      </c>
    </row>
    <row r="10" spans="1:16">
      <c r="A10" s="159" t="s">
        <v>99</v>
      </c>
      <c r="B10" s="349"/>
      <c r="C10" s="348">
        <v>1163</v>
      </c>
      <c r="D10" s="348">
        <v>1261</v>
      </c>
      <c r="E10" s="348">
        <v>1249</v>
      </c>
      <c r="F10" s="348">
        <v>1309</v>
      </c>
      <c r="G10" s="351">
        <v>1152</v>
      </c>
      <c r="H10" s="351">
        <v>1091</v>
      </c>
      <c r="I10" s="351">
        <v>1080</v>
      </c>
      <c r="J10" s="351">
        <v>763</v>
      </c>
      <c r="K10" s="351">
        <v>740</v>
      </c>
      <c r="L10" s="348">
        <v>780</v>
      </c>
      <c r="M10" s="348">
        <v>740</v>
      </c>
      <c r="N10" s="349">
        <v>693</v>
      </c>
      <c r="O10" s="349">
        <v>696</v>
      </c>
      <c r="P10" s="24">
        <v>709</v>
      </c>
    </row>
    <row r="11" spans="1:16">
      <c r="A11" s="159" t="s">
        <v>185</v>
      </c>
      <c r="B11" s="350"/>
      <c r="C11" s="442">
        <v>128</v>
      </c>
      <c r="D11" s="442">
        <v>754</v>
      </c>
      <c r="E11" s="442">
        <v>904</v>
      </c>
      <c r="F11" s="442">
        <v>950</v>
      </c>
      <c r="G11" s="442">
        <v>993</v>
      </c>
      <c r="H11" s="442">
        <v>1116</v>
      </c>
      <c r="I11" s="442">
        <v>1190</v>
      </c>
      <c r="J11" s="442">
        <v>1256</v>
      </c>
      <c r="K11" s="442">
        <v>1192</v>
      </c>
      <c r="L11" s="442">
        <v>1116</v>
      </c>
      <c r="M11" s="442">
        <v>1003</v>
      </c>
      <c r="N11" s="350">
        <v>900</v>
      </c>
      <c r="O11" s="350">
        <v>742</v>
      </c>
      <c r="P11" s="431">
        <v>940</v>
      </c>
    </row>
    <row r="12" spans="1:16">
      <c r="A12" s="159" t="s">
        <v>15</v>
      </c>
      <c r="B12" s="349"/>
      <c r="C12" s="348">
        <v>3368</v>
      </c>
      <c r="D12" s="348">
        <v>9373</v>
      </c>
      <c r="E12" s="348">
        <v>10314</v>
      </c>
      <c r="F12" s="348">
        <v>10930</v>
      </c>
      <c r="G12" s="351">
        <v>9679</v>
      </c>
      <c r="H12" s="351">
        <v>10013</v>
      </c>
      <c r="I12" s="351">
        <v>11865</v>
      </c>
      <c r="J12" s="351">
        <v>11884</v>
      </c>
      <c r="K12" s="351">
        <v>11909</v>
      </c>
      <c r="L12" s="348">
        <v>13080</v>
      </c>
      <c r="M12" s="348">
        <v>12806</v>
      </c>
      <c r="N12" s="349">
        <v>12145</v>
      </c>
      <c r="O12" s="349">
        <v>12277</v>
      </c>
      <c r="P12" s="24">
        <v>10879</v>
      </c>
    </row>
    <row r="13" spans="1:16">
      <c r="A13" s="159" t="s">
        <v>349</v>
      </c>
      <c r="B13" s="350"/>
      <c r="C13" s="442">
        <v>628</v>
      </c>
      <c r="D13" s="442">
        <v>1415</v>
      </c>
      <c r="E13" s="442">
        <v>1728</v>
      </c>
      <c r="F13" s="442">
        <v>1898</v>
      </c>
      <c r="G13" s="442">
        <v>1619</v>
      </c>
      <c r="H13" s="442">
        <v>1741</v>
      </c>
      <c r="I13" s="442">
        <v>1640</v>
      </c>
      <c r="J13" s="442">
        <v>1724</v>
      </c>
      <c r="K13" s="442">
        <v>2011</v>
      </c>
      <c r="L13" s="442">
        <v>2721</v>
      </c>
      <c r="M13" s="442">
        <v>2434</v>
      </c>
      <c r="N13" s="350">
        <v>1963</v>
      </c>
      <c r="O13" s="350">
        <v>2767</v>
      </c>
      <c r="P13" s="431">
        <v>2243</v>
      </c>
    </row>
    <row r="14" spans="1:16">
      <c r="A14" s="159" t="s">
        <v>180</v>
      </c>
      <c r="B14" s="349"/>
      <c r="C14" s="348">
        <v>9920</v>
      </c>
      <c r="D14" s="348">
        <v>8466</v>
      </c>
      <c r="E14" s="348">
        <v>8945</v>
      </c>
      <c r="F14" s="348">
        <v>9183</v>
      </c>
      <c r="G14" s="351">
        <v>8817</v>
      </c>
      <c r="H14" s="351">
        <v>8196</v>
      </c>
      <c r="I14" s="351">
        <v>6703</v>
      </c>
      <c r="J14" s="351">
        <v>6990</v>
      </c>
      <c r="K14" s="351">
        <v>7637</v>
      </c>
      <c r="L14" s="348">
        <v>8867</v>
      </c>
      <c r="M14" s="348">
        <v>8182</v>
      </c>
      <c r="N14" s="349">
        <v>7911</v>
      </c>
      <c r="O14" s="349">
        <v>8184</v>
      </c>
      <c r="P14" s="24">
        <v>8604</v>
      </c>
    </row>
    <row r="15" spans="1:16">
      <c r="A15" s="159" t="s">
        <v>17</v>
      </c>
      <c r="B15" s="350"/>
      <c r="C15" s="442">
        <v>2911</v>
      </c>
      <c r="D15" s="442">
        <v>3036</v>
      </c>
      <c r="E15" s="442">
        <v>3404</v>
      </c>
      <c r="F15" s="442">
        <v>3262</v>
      </c>
      <c r="G15" s="442">
        <v>2983</v>
      </c>
      <c r="H15" s="442">
        <v>2841</v>
      </c>
      <c r="I15" s="442">
        <v>3858</v>
      </c>
      <c r="J15" s="442">
        <v>3169</v>
      </c>
      <c r="K15" s="442">
        <v>3498</v>
      </c>
      <c r="L15" s="442">
        <v>3698</v>
      </c>
      <c r="M15" s="442">
        <v>4534</v>
      </c>
      <c r="N15" s="350">
        <v>5705</v>
      </c>
      <c r="O15" s="350">
        <v>5219</v>
      </c>
      <c r="P15" s="431">
        <v>5038</v>
      </c>
    </row>
    <row r="16" spans="1:16">
      <c r="A16" s="159" t="s">
        <v>120</v>
      </c>
      <c r="B16" s="349"/>
      <c r="C16" s="348">
        <v>401</v>
      </c>
      <c r="D16" s="348">
        <v>593</v>
      </c>
      <c r="E16" s="348">
        <v>500</v>
      </c>
      <c r="F16" s="348">
        <v>494</v>
      </c>
      <c r="G16" s="351">
        <v>500</v>
      </c>
      <c r="H16" s="351">
        <v>498</v>
      </c>
      <c r="I16" s="351">
        <v>457</v>
      </c>
      <c r="J16" s="351">
        <v>530</v>
      </c>
      <c r="K16" s="351">
        <v>472</v>
      </c>
      <c r="L16" s="348">
        <v>595</v>
      </c>
      <c r="M16" s="348">
        <v>686</v>
      </c>
      <c r="N16" s="349">
        <v>677</v>
      </c>
      <c r="O16" s="349">
        <v>756</v>
      </c>
      <c r="P16" s="24">
        <v>698</v>
      </c>
    </row>
    <row r="17" spans="1:16">
      <c r="A17" s="159" t="s">
        <v>103</v>
      </c>
      <c r="B17" s="350"/>
      <c r="C17" s="442">
        <v>720</v>
      </c>
      <c r="D17" s="442">
        <v>858</v>
      </c>
      <c r="E17" s="442">
        <v>863</v>
      </c>
      <c r="F17" s="442">
        <v>820</v>
      </c>
      <c r="G17" s="442">
        <v>903</v>
      </c>
      <c r="H17" s="442">
        <v>860</v>
      </c>
      <c r="I17" s="442">
        <v>916</v>
      </c>
      <c r="J17" s="442">
        <v>1040</v>
      </c>
      <c r="K17" s="442">
        <v>1157</v>
      </c>
      <c r="L17" s="442">
        <v>1304</v>
      </c>
      <c r="M17" s="442">
        <v>1478</v>
      </c>
      <c r="N17" s="350">
        <v>1457</v>
      </c>
      <c r="O17" s="350">
        <v>2002</v>
      </c>
      <c r="P17" s="431">
        <v>1880</v>
      </c>
    </row>
    <row r="18" spans="1:16" ht="15.75" thickBot="1">
      <c r="A18" s="162" t="s">
        <v>186</v>
      </c>
      <c r="B18" s="436"/>
      <c r="C18" s="436">
        <f t="shared" ref="C18:P18" si="0">SUM(C8:C17)</f>
        <v>23421</v>
      </c>
      <c r="D18" s="436">
        <f t="shared" si="0"/>
        <v>30548</v>
      </c>
      <c r="E18" s="436">
        <f t="shared" si="0"/>
        <v>33216</v>
      </c>
      <c r="F18" s="436">
        <f t="shared" si="0"/>
        <v>34832</v>
      </c>
      <c r="G18" s="436">
        <f t="shared" si="0"/>
        <v>32315</v>
      </c>
      <c r="H18" s="436">
        <f t="shared" si="0"/>
        <v>32254</v>
      </c>
      <c r="I18" s="436">
        <f t="shared" si="0"/>
        <v>34043</v>
      </c>
      <c r="J18" s="436">
        <f t="shared" si="0"/>
        <v>33529</v>
      </c>
      <c r="K18" s="436">
        <f t="shared" si="0"/>
        <v>35191</v>
      </c>
      <c r="L18" s="436">
        <f t="shared" si="0"/>
        <v>38442</v>
      </c>
      <c r="M18" s="436">
        <f t="shared" si="0"/>
        <v>38665</v>
      </c>
      <c r="N18" s="436">
        <f t="shared" si="0"/>
        <v>39379</v>
      </c>
      <c r="O18" s="436">
        <f t="shared" si="0"/>
        <v>41453</v>
      </c>
      <c r="P18" s="437">
        <f t="shared" si="0"/>
        <v>39028</v>
      </c>
    </row>
    <row r="19" spans="1:16">
      <c r="A19" s="149"/>
      <c r="B19" s="149"/>
      <c r="C19" s="149"/>
      <c r="D19" s="149"/>
      <c r="E19" s="149"/>
      <c r="F19" s="149"/>
      <c r="G19" s="151"/>
      <c r="H19" s="151"/>
      <c r="I19" s="151"/>
      <c r="J19" s="152"/>
      <c r="K19" s="152"/>
      <c r="L19" s="152"/>
      <c r="M19" s="152"/>
      <c r="N19" s="150"/>
      <c r="O19" s="150"/>
      <c r="P19" s="150"/>
    </row>
    <row r="99" spans="1:2">
      <c r="A99" s="356" t="s">
        <v>323</v>
      </c>
      <c r="B99" s="356"/>
    </row>
    <row r="100" spans="1:2">
      <c r="A100" s="356" t="s">
        <v>324</v>
      </c>
      <c r="B100" s="356"/>
    </row>
  </sheetData>
  <dataValidations count="1">
    <dataValidation type="list" allowBlank="1" showInputMessage="1" showErrorMessage="1" sqref="B7">
      <formula1>$A$99:$A$100</formula1>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workbookViewId="0">
      <selection activeCell="H19" sqref="H19"/>
    </sheetView>
  </sheetViews>
  <sheetFormatPr defaultRowHeight="15"/>
  <sheetData>
    <row r="1" spans="1:34" ht="13.5" customHeight="1">
      <c r="A1" s="151">
        <v>1987</v>
      </c>
      <c r="B1" s="151">
        <v>1988</v>
      </c>
      <c r="C1" s="151">
        <v>1989</v>
      </c>
      <c r="D1" s="151">
        <v>1990</v>
      </c>
      <c r="E1" s="151">
        <v>1991</v>
      </c>
      <c r="F1" s="151">
        <v>1992</v>
      </c>
      <c r="G1" s="151">
        <v>1993</v>
      </c>
      <c r="H1" s="151">
        <v>1994</v>
      </c>
      <c r="I1" s="151">
        <v>1995</v>
      </c>
      <c r="J1" s="151">
        <v>1996</v>
      </c>
      <c r="K1" s="151">
        <v>1997</v>
      </c>
      <c r="L1" s="151">
        <v>1998</v>
      </c>
      <c r="M1" s="152">
        <v>1999</v>
      </c>
      <c r="N1" s="152">
        <v>2000</v>
      </c>
      <c r="O1" s="152">
        <v>2001</v>
      </c>
      <c r="P1" s="152">
        <v>2002</v>
      </c>
      <c r="Q1" s="152">
        <v>2003</v>
      </c>
      <c r="R1" s="152">
        <v>2004</v>
      </c>
      <c r="S1" s="152">
        <v>2005</v>
      </c>
      <c r="T1" s="152">
        <v>2006</v>
      </c>
      <c r="U1" s="152">
        <v>2007</v>
      </c>
      <c r="V1" s="152">
        <v>2008</v>
      </c>
      <c r="W1" s="152">
        <v>2009</v>
      </c>
      <c r="X1" s="152">
        <v>2010</v>
      </c>
      <c r="Y1" s="152">
        <v>2011</v>
      </c>
      <c r="Z1" s="152">
        <v>2012</v>
      </c>
      <c r="AA1" s="152">
        <v>2013</v>
      </c>
      <c r="AB1" s="152">
        <v>2014</v>
      </c>
      <c r="AC1" s="152">
        <v>2015</v>
      </c>
      <c r="AD1" s="152">
        <v>2016</v>
      </c>
      <c r="AE1" s="152">
        <v>2017</v>
      </c>
      <c r="AF1" s="152">
        <v>2018</v>
      </c>
      <c r="AG1" s="152">
        <v>2019</v>
      </c>
      <c r="AH1" s="152">
        <v>2020</v>
      </c>
    </row>
    <row r="2" spans="1:34">
      <c r="A2" t="e">
        <f>IF(#REF!=#REF!,#REF!,IF(#REF!=#REF!,#REF!,IF(#REF!=#REF!,#REF!,IF(#REF!=#REF!,#REF!,IF(#REF!=#REF!,#REF!,IF(#REF!=#REF!,#REF!,IF(#REF!=#REF!,#REF!,IF(#REF!=#REF!,#REF!,IF(#REF!=#REF!,#REF!,IF(#REF!=#REF!,#REF!,IF(#REF!=#REF!,#REF!,IF(#REF!=#REF!,#REF!,IF(#REF!=#REF!,#REF!,#REF!)))))))))))))</f>
        <v>#REF!</v>
      </c>
      <c r="B2" t="e">
        <f>IF(#REF!=#REF!,#REF!,IF(#REF!=#REF!,#REF!,IF(#REF!=#REF!,#REF!,IF(#REF!=#REF!,#REF!,IF(#REF!=#REF!,#REF!,IF(#REF!=#REF!,#REF!,IF(#REF!=#REF!,#REF!,IF(#REF!=#REF!,#REF!,IF(#REF!=#REF!,#REF!,IF(#REF!=#REF!,#REF!,IF(#REF!=#REF!,#REF!,IF(#REF!=#REF!,#REF!,IF(#REF!=#REF!,#REF!,#REF!)))))))))))))</f>
        <v>#REF!</v>
      </c>
      <c r="C2" t="e">
        <f>IF(#REF!=#REF!,#REF!,IF(#REF!=#REF!,#REF!,IF(#REF!=#REF!,#REF!,IF(#REF!=#REF!,#REF!,IF(#REF!=#REF!,#REF!,IF(#REF!=#REF!,#REF!,IF(#REF!=#REF!,#REF!,IF(#REF!=#REF!,#REF!,IF(#REF!=#REF!,#REF!,IF(#REF!=#REF!,#REF!,IF(#REF!=#REF!,#REF!,IF(#REF!=#REF!,#REF!,IF(#REF!=#REF!,#REF!,#REF!)))))))))))))</f>
        <v>#REF!</v>
      </c>
      <c r="D2" t="e">
        <f>IF(#REF!=#REF!,#REF!,IF(#REF!=#REF!,#REF!,IF(#REF!=#REF!,#REF!,IF(#REF!=#REF!,#REF!,IF(#REF!=#REF!,#REF!,IF(#REF!=#REF!,#REF!,IF(#REF!=#REF!,#REF!,IF(#REF!=#REF!,#REF!,IF(#REF!=#REF!,#REF!,IF(#REF!=#REF!,#REF!,IF(#REF!=#REF!,#REF!,IF(#REF!=#REF!,#REF!,IF(#REF!=#REF!,#REF!,#REF!)))))))))))))</f>
        <v>#REF!</v>
      </c>
      <c r="E2" t="e">
        <f>IF(#REF!=#REF!,#REF!,IF(#REF!=#REF!,#REF!,IF(#REF!=#REF!,#REF!,IF(#REF!=#REF!,#REF!,IF(#REF!=#REF!,#REF!,IF(#REF!=#REF!,#REF!,IF(#REF!=#REF!,#REF!,IF(#REF!=#REF!,#REF!,IF(#REF!=#REF!,#REF!,IF(#REF!=#REF!,#REF!,IF(#REF!=#REF!,#REF!,IF(#REF!=#REF!,#REF!,IF(#REF!=#REF!,#REF!,#REF!)))))))))))))</f>
        <v>#REF!</v>
      </c>
      <c r="F2" t="e">
        <f>IF(#REF!=#REF!,#REF!,IF(#REF!=#REF!,#REF!,IF(#REF!=#REF!,#REF!,IF(#REF!=#REF!,#REF!,IF(#REF!=#REF!,#REF!,IF(#REF!=#REF!,#REF!,IF(#REF!=#REF!,#REF!,IF(#REF!=#REF!,#REF!,IF(#REF!=#REF!,#REF!,IF(#REF!=#REF!,#REF!,IF(#REF!=#REF!,#REF!,IF(#REF!=#REF!,#REF!,IF(#REF!=#REF!,#REF!,#REF!)))))))))))))</f>
        <v>#REF!</v>
      </c>
      <c r="G2" t="e">
        <f>IF(#REF!=#REF!,#REF!,IF(#REF!=#REF!,#REF!,IF(#REF!=#REF!,#REF!,IF(#REF!=#REF!,#REF!,IF(#REF!=#REF!,#REF!,IF(#REF!=#REF!,#REF!,IF(#REF!=#REF!,#REF!,IF(#REF!=#REF!,#REF!,IF(#REF!=#REF!,#REF!,IF(#REF!=#REF!,#REF!,IF(#REF!=#REF!,#REF!,IF(#REF!=#REF!,#REF!,IF(#REF!=#REF!,#REF!,#REF!)))))))))))))</f>
        <v>#REF!</v>
      </c>
      <c r="H2" t="e">
        <f>IF(#REF!=#REF!,#REF!,IF(#REF!=#REF!,#REF!,IF(#REF!=#REF!,#REF!,IF(#REF!=#REF!,#REF!,IF(#REF!=#REF!,#REF!,IF(#REF!=#REF!,#REF!,IF(#REF!=#REF!,#REF!,IF(#REF!=#REF!,#REF!,IF(#REF!=#REF!,#REF!,IF(#REF!=#REF!,#REF!,IF(#REF!=#REF!,#REF!,IF(#REF!=#REF!,#REF!,IF(#REF!=#REF!,#REF!,#REF!)))))))))))))</f>
        <v>#REF!</v>
      </c>
      <c r="I2" t="e">
        <f>IF(#REF!=#REF!,#REF!,IF(#REF!=#REF!,#REF!,IF(#REF!=#REF!,#REF!,IF(#REF!=#REF!,#REF!,IF(#REF!=#REF!,#REF!,IF(#REF!=#REF!,#REF!,IF(#REF!=#REF!,#REF!,IF(#REF!=#REF!,#REF!,IF(#REF!=#REF!,#REF!,IF(#REF!=#REF!,#REF!,IF(#REF!=#REF!,#REF!,IF(#REF!=#REF!,#REF!,IF(#REF!=#REF!,#REF!,#REF!)))))))))))))</f>
        <v>#REF!</v>
      </c>
      <c r="J2" t="e">
        <f>IF(#REF!=#REF!,#REF!,IF(#REF!=#REF!,#REF!,IF(#REF!=#REF!,#REF!,IF(#REF!=#REF!,#REF!,IF(#REF!=#REF!,#REF!,IF(#REF!=#REF!,#REF!,IF(#REF!=#REF!,#REF!,IF(#REF!=#REF!,#REF!,IF(#REF!=#REF!,#REF!,IF(#REF!=#REF!,#REF!,IF(#REF!=#REF!,#REF!,IF(#REF!=#REF!,#REF!,IF(#REF!=#REF!,#REF!,#REF!)))))))))))))</f>
        <v>#REF!</v>
      </c>
      <c r="K2" t="e">
        <f>IF(#REF!=#REF!,#REF!,IF(#REF!=#REF!,#REF!,IF(#REF!=#REF!,#REF!,IF(#REF!=#REF!,#REF!,IF(#REF!=#REF!,#REF!,IF(#REF!=#REF!,#REF!,IF(#REF!=#REF!,#REF!,IF(#REF!=#REF!,#REF!,IF(#REF!=#REF!,#REF!,IF(#REF!=#REF!,#REF!,IF(#REF!=#REF!,#REF!,IF(#REF!=#REF!,#REF!,IF(#REF!=#REF!,#REF!,#REF!)))))))))))))</f>
        <v>#REF!</v>
      </c>
      <c r="L2" t="e">
        <f>IF(#REF!=#REF!,#REF!,IF(#REF!=#REF!,#REF!,IF(#REF!=#REF!,#REF!,IF(#REF!=#REF!,#REF!,IF(#REF!=#REF!,#REF!,IF(#REF!=#REF!,#REF!,IF(#REF!=#REF!,#REF!,IF(#REF!=#REF!,#REF!,IF(#REF!=#REF!,#REF!,IF(#REF!=#REF!,#REF!,IF(#REF!=#REF!,#REF!,IF(#REF!=#REF!,#REF!,IF(#REF!=#REF!,#REF!,#REF!)))))))))))))</f>
        <v>#REF!</v>
      </c>
      <c r="M2" t="e">
        <f>IF(#REF!=#REF!,#REF!,IF(#REF!=#REF!,#REF!,IF(#REF!=#REF!,#REF!,IF(#REF!=#REF!,#REF!,IF(#REF!=#REF!,#REF!,IF(#REF!=#REF!,#REF!,IF(#REF!=#REF!,#REF!,IF(#REF!=#REF!,#REF!,IF(#REF!=#REF!,#REF!,IF(#REF!=#REF!,#REF!,IF(#REF!=#REF!,#REF!,IF(#REF!=#REF!,#REF!,IF(#REF!=#REF!,#REF!,#REF!)))))))))))))</f>
        <v>#REF!</v>
      </c>
      <c r="N2" t="e">
        <f>IF(#REF!=#REF!,#REF!,IF(#REF!=#REF!,#REF!,IF(#REF!=#REF!,#REF!,IF(#REF!=#REF!,#REF!,IF(#REF!=#REF!,#REF!,IF(#REF!=#REF!,#REF!,IF(#REF!=#REF!,#REF!,IF(#REF!=#REF!,#REF!,IF(#REF!=#REF!,#REF!,IF(#REF!=#REF!,#REF!,IF(#REF!=#REF!,#REF!,IF(#REF!=#REF!,#REF!,IF(#REF!=#REF!,#REF!,#REF!)))))))))))))</f>
        <v>#REF!</v>
      </c>
      <c r="O2" t="e">
        <f>IF(#REF!=#REF!,#REF!,IF(#REF!=#REF!,#REF!,IF(#REF!=#REF!,#REF!,IF(#REF!=#REF!,#REF!,IF(#REF!=#REF!,#REF!,IF(#REF!=#REF!,#REF!,IF(#REF!=#REF!,#REF!,IF(#REF!=#REF!,#REF!,IF(#REF!=#REF!,#REF!,IF(#REF!=#REF!,#REF!,IF(#REF!=#REF!,#REF!,IF(#REF!=#REF!,#REF!,IF(#REF!=#REF!,#REF!,#REF!)))))))))))))</f>
        <v>#REF!</v>
      </c>
      <c r="P2" t="e">
        <f>IF(#REF!=#REF!,#REF!,IF(#REF!=#REF!,#REF!,IF(#REF!=#REF!,#REF!,IF(#REF!=#REF!,#REF!,IF(#REF!=#REF!,#REF!,IF(#REF!=#REF!,#REF!,IF(#REF!=#REF!,#REF!,IF(#REF!=#REF!,#REF!,IF(#REF!=#REF!,#REF!,IF(#REF!=#REF!,#REF!,IF(#REF!=#REF!,#REF!,IF(#REF!=#REF!,#REF!,IF(#REF!=#REF!,#REF!,#REF!)))))))))))))</f>
        <v>#REF!</v>
      </c>
      <c r="Q2" t="e">
        <f>IF(#REF!=#REF!,#REF!,IF(#REF!=#REF!,#REF!,IF(#REF!=#REF!,#REF!,IF(#REF!=#REF!,#REF!,IF(#REF!=#REF!,#REF!,IF(#REF!=#REF!,#REF!,IF(#REF!=#REF!,#REF!,IF(#REF!=#REF!,#REF!,IF(#REF!=#REF!,#REF!,IF(#REF!=#REF!,#REF!,IF(#REF!=#REF!,#REF!,IF(#REF!=#REF!,#REF!,IF(#REF!=#REF!,#REF!,#REF!)))))))))))))</f>
        <v>#REF!</v>
      </c>
      <c r="R2" t="e">
        <f>IF(#REF!=#REF!,#REF!,IF(#REF!=#REF!,#REF!,IF(#REF!=#REF!,#REF!,IF(#REF!=#REF!,#REF!,IF(#REF!=#REF!,#REF!,IF(#REF!=#REF!,#REF!,IF(#REF!=#REF!,#REF!,IF(#REF!=#REF!,#REF!,IF(#REF!=#REF!,#REF!,IF(#REF!=#REF!,#REF!,IF(#REF!=#REF!,#REF!,IF(#REF!=#REF!,#REF!,IF(#REF!=#REF!,#REF!,#REF!)))))))))))))</f>
        <v>#REF!</v>
      </c>
      <c r="S2" t="e">
        <f>IF(#REF!=#REF!,#REF!,IF(#REF!=#REF!,#REF!,IF(#REF!=#REF!,#REF!,IF(#REF!=#REF!,#REF!,IF(#REF!=#REF!,#REF!,IF(#REF!=#REF!,#REF!,IF(#REF!=#REF!,#REF!,IF(#REF!=#REF!,#REF!,IF(#REF!=#REF!,#REF!,IF(#REF!=#REF!,#REF!,IF(#REF!=#REF!,#REF!,IF(#REF!=#REF!,#REF!,IF(#REF!=#REF!,#REF!,#REF!)))))))))))))</f>
        <v>#REF!</v>
      </c>
      <c r="T2" t="e">
        <f>IF(#REF!=#REF!,#REF!,IF(#REF!=#REF!,#REF!,IF(#REF!=#REF!,#REF!,IF(#REF!=#REF!,#REF!,IF(#REF!=#REF!,#REF!,IF(#REF!=#REF!,#REF!,IF(#REF!=#REF!,#REF!,IF(#REF!=#REF!,#REF!,IF(#REF!=#REF!,#REF!,IF(#REF!=#REF!,#REF!,IF(#REF!=#REF!,#REF!,IF(#REF!=#REF!,#REF!,IF(#REF!=#REF!,#REF!,#REF!)))))))))))))</f>
        <v>#REF!</v>
      </c>
      <c r="U2" t="e">
        <f>IF(#REF!=#REF!,#REF!,IF(#REF!=#REF!,#REF!,IF(#REF!=#REF!,#REF!,IF(#REF!=#REF!,#REF!,IF(#REF!=#REF!,#REF!,IF(#REF!=#REF!,#REF!,IF(#REF!=#REF!,#REF!,IF(#REF!=#REF!,#REF!,IF(#REF!=#REF!,#REF!,IF(#REF!=#REF!,#REF!,IF(#REF!=#REF!,#REF!,IF(#REF!=#REF!,#REF!,IF(#REF!=#REF!,#REF!,#REF!)))))))))))))</f>
        <v>#REF!</v>
      </c>
      <c r="V2" t="e">
        <f>IF(#REF!=#REF!,#REF!,IF(#REF!=#REF!,#REF!,IF(#REF!=#REF!,#REF!,IF(#REF!=#REF!,#REF!,IF(#REF!=#REF!,#REF!,IF(#REF!=#REF!,#REF!,IF(#REF!=#REF!,#REF!,IF(#REF!=#REF!,#REF!,IF(#REF!=#REF!,#REF!,IF(#REF!=#REF!,#REF!,IF(#REF!=#REF!,#REF!,IF(#REF!=#REF!,#REF!,IF(#REF!=#REF!,#REF!,#REF!)))))))))))))</f>
        <v>#REF!</v>
      </c>
      <c r="W2" t="e">
        <f>IF(#REF!=#REF!,#REF!,IF(#REF!=#REF!,#REF!,IF(#REF!=#REF!,#REF!,IF(#REF!=#REF!,#REF!,IF(#REF!=#REF!,#REF!,IF(#REF!=#REF!,#REF!,IF(#REF!=#REF!,#REF!,IF(#REF!=#REF!,#REF!,IF(#REF!=#REF!,#REF!,IF(#REF!=#REF!,#REF!,IF(#REF!=#REF!,#REF!,IF(#REF!=#REF!,#REF!,IF(#REF!=#REF!,#REF!,#REF!)))))))))))))</f>
        <v>#REF!</v>
      </c>
      <c r="X2" t="e">
        <f>IF(#REF!=#REF!,#REF!,IF(#REF!=#REF!,#REF!,IF(#REF!=#REF!,#REF!,IF(#REF!=#REF!,#REF!,IF(#REF!=#REF!,#REF!,IF(#REF!=#REF!,#REF!,IF(#REF!=#REF!,#REF!,IF(#REF!=#REF!,#REF!,IF(#REF!=#REF!,#REF!,IF(#REF!=#REF!,#REF!,IF(#REF!=#REF!,#REF!,IF(#REF!=#REF!,#REF!,IF(#REF!=#REF!,#REF!,#REF!)))))))))))))</f>
        <v>#REF!</v>
      </c>
      <c r="Y2" t="e">
        <f>IF(#REF!=#REF!,#REF!,IF(#REF!=#REF!,#REF!,IF(#REF!=#REF!,#REF!,IF(#REF!=#REF!,#REF!,IF(#REF!=#REF!,#REF!,IF(#REF!=#REF!,#REF!,IF(#REF!=#REF!,#REF!,IF(#REF!=#REF!,#REF!,IF(#REF!=#REF!,#REF!,IF(#REF!=#REF!,#REF!,IF(#REF!=#REF!,#REF!,IF(#REF!=#REF!,#REF!,IF(#REF!=#REF!,#REF!,#REF!)))))))))))))</f>
        <v>#REF!</v>
      </c>
      <c r="Z2" t="e">
        <f>IF(#REF!=#REF!,#REF!,IF(#REF!=#REF!,#REF!,IF(#REF!=#REF!,#REF!,IF(#REF!=#REF!,#REF!,IF(#REF!=#REF!,#REF!,IF(#REF!=#REF!,#REF!,IF(#REF!=#REF!,#REF!,IF(#REF!=#REF!,#REF!,IF(#REF!=#REF!,#REF!,IF(#REF!=#REF!,#REF!,IF(#REF!=#REF!,#REF!,IF(#REF!=#REF!,#REF!,IF(#REF!=#REF!,#REF!,#REF!)))))))))))))</f>
        <v>#REF!</v>
      </c>
      <c r="AA2" t="e">
        <f>IF(#REF!=#REF!,#REF!,IF(#REF!=#REF!,#REF!,IF(#REF!=#REF!,#REF!,IF(#REF!=#REF!,#REF!,IF(#REF!=#REF!,#REF!,IF(#REF!=#REF!,#REF!,IF(#REF!=#REF!,#REF!,IF(#REF!=#REF!,#REF!,IF(#REF!=#REF!,#REF!,IF(#REF!=#REF!,#REF!,IF(#REF!=#REF!,#REF!,IF(#REF!=#REF!,#REF!,IF(#REF!=#REF!,#REF!,#REF!)))))))))))))</f>
        <v>#REF!</v>
      </c>
      <c r="AB2" t="e">
        <f>IF(#REF!=#REF!,#REF!,IF(#REF!=#REF!,#REF!,IF(#REF!=#REF!,#REF!,IF(#REF!=#REF!,#REF!,IF(#REF!=#REF!,#REF!,IF(#REF!=#REF!,#REF!,IF(#REF!=#REF!,#REF!,IF(#REF!=#REF!,#REF!,IF(#REF!=#REF!,#REF!,IF(#REF!=#REF!,#REF!,IF(#REF!=#REF!,#REF!,IF(#REF!=#REF!,#REF!,IF(#REF!=#REF!,#REF!,#REF!)))))))))))))</f>
        <v>#REF!</v>
      </c>
      <c r="AC2" t="e">
        <f>IF(#REF!=#REF!,#REF!,IF(#REF!=#REF!,#REF!,IF(#REF!=#REF!,#REF!,IF(#REF!=#REF!,#REF!,IF(#REF!=#REF!,#REF!,IF(#REF!=#REF!,#REF!,IF(#REF!=#REF!,#REF!,IF(#REF!=#REF!,#REF!,IF(#REF!=#REF!,#REF!,IF(#REF!=#REF!,#REF!,IF(#REF!=#REF!,#REF!,IF(#REF!=#REF!,#REF!,IF(#REF!=#REF!,#REF!,#REF!)))))))))))))</f>
        <v>#REF!</v>
      </c>
      <c r="AD2" t="e">
        <f>IF(#REF!=#REF!,#REF!,IF(#REF!=#REF!,#REF!,IF(#REF!=#REF!,#REF!,IF(#REF!=#REF!,#REF!,IF(#REF!=#REF!,#REF!,IF(#REF!=#REF!,#REF!,IF(#REF!=#REF!,#REF!,IF(#REF!=#REF!,#REF!,IF(#REF!=#REF!,#REF!,IF(#REF!=#REF!,#REF!,IF(#REF!=#REF!,#REF!,IF(#REF!=#REF!,#REF!,IF(#REF!=#REF!,#REF!,#REF!)))))))))))))</f>
        <v>#REF!</v>
      </c>
      <c r="AE2" t="e">
        <f>IF(#REF!=#REF!,#REF!,IF(#REF!=#REF!,#REF!,IF(#REF!=#REF!,#REF!,IF(#REF!=#REF!,#REF!,IF(#REF!=#REF!,#REF!,IF(#REF!=#REF!,#REF!,IF(#REF!=#REF!,#REF!,IF(#REF!=#REF!,#REF!,IF(#REF!=#REF!,#REF!,IF(#REF!=#REF!,#REF!,IF(#REF!=#REF!,#REF!,IF(#REF!=#REF!,#REF!,IF(#REF!=#REF!,#REF!,#REF!)))))))))))))</f>
        <v>#REF!</v>
      </c>
      <c r="AF2" t="e">
        <f>IF(#REF!=#REF!,#REF!,IF(#REF!=#REF!,#REF!,IF(#REF!=#REF!,#REF!,IF(#REF!=#REF!,#REF!,IF(#REF!=#REF!,#REF!,IF(#REF!=#REF!,#REF!,IF(#REF!=#REF!,#REF!,IF(#REF!=#REF!,#REF!,IF(#REF!=#REF!,#REF!,IF(#REF!=#REF!,#REF!,IF(#REF!=#REF!,#REF!,IF(#REF!=#REF!,#REF!,IF(#REF!=#REF!,#REF!,#REF!)))))))))))))</f>
        <v>#REF!</v>
      </c>
      <c r="AG2" t="e">
        <f>IF(#REF!=#REF!,#REF!,IF(#REF!=#REF!,#REF!,IF(#REF!=#REF!,#REF!,IF(#REF!=#REF!,#REF!,IF(#REF!=#REF!,#REF!,IF(#REF!=#REF!,#REF!,IF(#REF!=#REF!,#REF!,IF(#REF!=#REF!,#REF!,IF(#REF!=#REF!,#REF!,IF(#REF!=#REF!,#REF!,IF(#REF!=#REF!,#REF!,IF(#REF!=#REF!,#REF!,IF(#REF!=#REF!,#REF!,#REF!)))))))))))))</f>
        <v>#REF!</v>
      </c>
      <c r="AH2" t="e">
        <f>IF(#REF!=#REF!,#REF!,IF(#REF!=#REF!,#REF!,IF(#REF!=#REF!,#REF!,IF(#REF!=#REF!,#REF!,IF(#REF!=#REF!,#REF!,IF(#REF!=#REF!,#REF!,IF(#REF!=#REF!,#REF!,IF(#REF!=#REF!,#REF!,IF(#REF!=#REF!,#REF!,IF(#REF!=#REF!,#REF!,IF(#REF!=#REF!,#REF!,IF(#REF!=#REF!,#REF!,IF(#REF!=#REF!,#REF!,#REF!)))))))))))))</f>
        <v>#REF!</v>
      </c>
    </row>
    <row r="12" spans="1:34">
      <c r="A12" s="164" t="s">
        <v>97</v>
      </c>
    </row>
    <row r="13" spans="1:34">
      <c r="A13" s="165" t="s">
        <v>98</v>
      </c>
    </row>
    <row r="14" spans="1:34">
      <c r="A14" s="165" t="s">
        <v>99</v>
      </c>
    </row>
    <row r="15" spans="1:34">
      <c r="A15" s="165" t="s">
        <v>100</v>
      </c>
    </row>
    <row r="16" spans="1:34">
      <c r="A16" s="164" t="s">
        <v>15</v>
      </c>
    </row>
    <row r="17" spans="1:1">
      <c r="A17" s="165" t="s">
        <v>104</v>
      </c>
    </row>
    <row r="18" spans="1:1">
      <c r="A18" s="165" t="s">
        <v>109</v>
      </c>
    </row>
    <row r="19" spans="1:1">
      <c r="A19" s="165" t="s">
        <v>113</v>
      </c>
    </row>
    <row r="20" spans="1:1">
      <c r="A20" s="165" t="s">
        <v>17</v>
      </c>
    </row>
    <row r="21" spans="1:1">
      <c r="A21" s="164" t="s">
        <v>120</v>
      </c>
    </row>
    <row r="22" spans="1:1">
      <c r="A22" s="165" t="s">
        <v>122</v>
      </c>
    </row>
    <row r="23" spans="1:1">
      <c r="A23" s="164" t="s">
        <v>125</v>
      </c>
    </row>
    <row r="24" spans="1:1">
      <c r="A24" s="164" t="s">
        <v>126</v>
      </c>
    </row>
    <row r="25" spans="1:1">
      <c r="A25" s="164" t="s">
        <v>127</v>
      </c>
    </row>
    <row r="26" spans="1:1">
      <c r="A26" s="164" t="s">
        <v>128</v>
      </c>
    </row>
    <row r="27" spans="1:1">
      <c r="A27" s="164" t="s">
        <v>129</v>
      </c>
    </row>
    <row r="28" spans="1:1">
      <c r="A28" s="164" t="s">
        <v>130</v>
      </c>
    </row>
    <row r="29" spans="1:1">
      <c r="A29" s="164" t="s">
        <v>131</v>
      </c>
    </row>
    <row r="30" spans="1:1">
      <c r="A30" s="164" t="s">
        <v>90</v>
      </c>
    </row>
    <row r="31" spans="1:1">
      <c r="A31" s="164" t="s">
        <v>132</v>
      </c>
    </row>
    <row r="32" spans="1:1">
      <c r="A32" s="164" t="s">
        <v>133</v>
      </c>
    </row>
    <row r="33" spans="1:1">
      <c r="A33" s="164" t="s">
        <v>134</v>
      </c>
    </row>
    <row r="34" spans="1:1">
      <c r="A34" s="164" t="s">
        <v>135</v>
      </c>
    </row>
    <row r="35" spans="1:1">
      <c r="A35" s="164" t="s">
        <v>136</v>
      </c>
    </row>
    <row r="36" spans="1:1">
      <c r="A36" s="164" t="s">
        <v>137</v>
      </c>
    </row>
    <row r="37" spans="1:1">
      <c r="A37" s="164" t="s">
        <v>138</v>
      </c>
    </row>
    <row r="38" spans="1:1">
      <c r="A38" s="164" t="s">
        <v>139</v>
      </c>
    </row>
    <row r="39" spans="1:1">
      <c r="A39" s="164" t="s">
        <v>103</v>
      </c>
    </row>
    <row r="40" spans="1:1">
      <c r="A40" s="148"/>
    </row>
    <row r="41" spans="1:1">
      <c r="A41" s="16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Y15"/>
  <sheetViews>
    <sheetView workbookViewId="0"/>
  </sheetViews>
  <sheetFormatPr defaultRowHeight="15"/>
  <cols>
    <col min="1" max="1" width="17.7109375" style="428" customWidth="1"/>
    <col min="2" max="2" width="44" style="428" customWidth="1"/>
    <col min="3" max="8" width="9.140625" style="428"/>
    <col min="9" max="9" width="13.28515625" style="428" bestFit="1" customWidth="1"/>
    <col min="10" max="11" width="9.140625" style="428"/>
    <col min="12" max="12" width="16" style="428" customWidth="1"/>
    <col min="13" max="16384" width="9.140625" style="428"/>
  </cols>
  <sheetData>
    <row r="1" spans="1:25">
      <c r="Y1" s="428" t="s">
        <v>453</v>
      </c>
    </row>
    <row r="2" spans="1:25">
      <c r="Y2" s="428" t="s">
        <v>454</v>
      </c>
    </row>
    <row r="3" spans="1:25">
      <c r="Y3" s="428" t="s">
        <v>455</v>
      </c>
    </row>
    <row r="4" spans="1:25">
      <c r="Y4" s="428" t="s">
        <v>454</v>
      </c>
    </row>
    <row r="8" spans="1:25" ht="15.75" thickBot="1"/>
    <row r="9" spans="1:25" ht="15.75" thickBot="1">
      <c r="A9" s="357"/>
      <c r="H9" s="7" t="s">
        <v>187</v>
      </c>
      <c r="I9" s="23"/>
      <c r="J9" s="23"/>
      <c r="K9" s="23"/>
      <c r="L9" s="4"/>
    </row>
    <row r="10" spans="1:25" ht="15.75" thickBot="1">
      <c r="H10" s="22" t="s">
        <v>453</v>
      </c>
      <c r="I10" s="10"/>
      <c r="J10" s="10"/>
      <c r="K10" s="10"/>
      <c r="L10" s="3"/>
    </row>
    <row r="11" spans="1:25">
      <c r="H11" s="21" t="s">
        <v>188</v>
      </c>
      <c r="I11" s="21"/>
      <c r="J11" s="21"/>
      <c r="K11" s="21"/>
      <c r="L11" s="21"/>
    </row>
    <row r="12" spans="1:25" ht="15.75" thickBot="1">
      <c r="A12" s="357"/>
    </row>
    <row r="13" spans="1:25" ht="15.75" thickBot="1">
      <c r="H13" s="365" t="s">
        <v>346</v>
      </c>
      <c r="I13" s="2" t="s">
        <v>453</v>
      </c>
      <c r="J13" s="2"/>
      <c r="K13" s="2"/>
      <c r="L13" s="20"/>
    </row>
    <row r="15" spans="1:25">
      <c r="H15" s="9" t="s">
        <v>455</v>
      </c>
      <c r="I15" s="8"/>
      <c r="J15" s="8"/>
      <c r="K15" s="8"/>
      <c r="L15" s="8"/>
    </row>
  </sheetData>
  <mergeCells count="5">
    <mergeCell ref="H9:L9"/>
    <mergeCell ref="H10:L10"/>
    <mergeCell ref="H11:L11"/>
    <mergeCell ref="H15:L15"/>
    <mergeCell ref="I13:L13"/>
  </mergeCells>
  <dataValidations count="2">
    <dataValidation type="list" allowBlank="1" showInputMessage="1" showErrorMessage="1" promptTitle="Select a Display Factor:" prompt="Clicking here will bring up a message describing the selections you can make." sqref="H10:L10 I13:L13">
      <formula1>$Y$1:$Y$2</formula1>
    </dataValidation>
    <dataValidation type="list" allowBlank="1" showInputMessage="1" showErrorMessage="1" promptTitle="Selecta Display Factor:" prompt="Clicking here will bring up a message describing the selections you can make." sqref="H15:L15">
      <formula1>$Y$3:$Y$4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zoomScaleNormal="100" workbookViewId="0"/>
  </sheetViews>
  <sheetFormatPr defaultColWidth="9.140625" defaultRowHeight="12.75"/>
  <cols>
    <col min="1" max="1" width="25.140625" style="377" customWidth="1"/>
    <col min="2" max="2" width="7.140625" style="377" customWidth="1"/>
    <col min="3" max="3" width="10.28515625" style="377" bestFit="1" customWidth="1"/>
    <col min="4" max="4" width="10.42578125" style="377" bestFit="1" customWidth="1"/>
    <col min="5" max="5" width="12.140625" style="377" bestFit="1" customWidth="1"/>
    <col min="6" max="6" width="10.28515625" style="377" bestFit="1" customWidth="1"/>
    <col min="7" max="8" width="12.5703125" style="377" bestFit="1" customWidth="1"/>
    <col min="9" max="9" width="9.140625" style="377" customWidth="1"/>
    <col min="10" max="10" width="24.140625" style="377" bestFit="1" customWidth="1"/>
    <col min="11" max="17" width="9.140625" style="377"/>
    <col min="18" max="18" width="7" style="377" bestFit="1" customWidth="1"/>
    <col min="19" max="16384" width="9.140625" style="377"/>
  </cols>
  <sheetData>
    <row r="1" spans="1:21">
      <c r="H1" s="378"/>
      <c r="J1" s="379" t="s">
        <v>52</v>
      </c>
      <c r="K1" s="380">
        <v>2015</v>
      </c>
      <c r="T1" s="381" t="str">
        <f>RIGHT(K1,3)</f>
        <v>015</v>
      </c>
      <c r="U1" s="381" t="str">
        <f>LEFT(T1,1)</f>
        <v>0</v>
      </c>
    </row>
    <row r="2" spans="1:21" ht="13.5" thickBot="1">
      <c r="J2" s="382" t="s">
        <v>53</v>
      </c>
      <c r="K2" s="383">
        <v>2016</v>
      </c>
      <c r="L2" s="384"/>
      <c r="T2" s="381" t="str">
        <f>RIGHT(K2,3)</f>
        <v>016</v>
      </c>
      <c r="U2" s="381" t="str">
        <f>LEFT(T2,1)</f>
        <v>0</v>
      </c>
    </row>
    <row r="3" spans="1:21">
      <c r="T3" s="381" t="str">
        <f>CONCATENATE("Comparison ", K1, " and ",K2)</f>
        <v>Comparison 2015 and 2016</v>
      </c>
    </row>
    <row r="4" spans="1:21" ht="14.25" customHeight="1"/>
    <row r="5" spans="1:21" ht="14.25" customHeight="1">
      <c r="A5" s="149" t="str">
        <f>CONCATENATE(K1, " versus ", K2, " Exchange Rates and Commodity Prices")</f>
        <v>2015 versus 2016 Exchange Rates and Commodity Prices</v>
      </c>
      <c r="B5" s="149"/>
      <c r="C5" s="428"/>
      <c r="D5" s="428"/>
      <c r="E5" s="428"/>
      <c r="F5" s="428"/>
      <c r="G5" s="428"/>
      <c r="H5" s="428"/>
      <c r="I5" s="428"/>
      <c r="J5" s="428"/>
      <c r="K5" s="428"/>
      <c r="L5" s="428"/>
    </row>
    <row r="6" spans="1:21" ht="14.25" customHeight="1">
      <c r="A6" s="139"/>
      <c r="B6" s="428"/>
      <c r="C6" s="428"/>
      <c r="D6" s="428"/>
      <c r="E6" s="428"/>
      <c r="F6" s="428"/>
      <c r="G6" s="428"/>
      <c r="H6" s="428"/>
      <c r="I6" s="428"/>
      <c r="J6" s="428"/>
      <c r="K6" s="428"/>
      <c r="L6" s="428"/>
    </row>
    <row r="7" spans="1:21" ht="14.25" customHeight="1">
      <c r="A7" s="428"/>
      <c r="B7" s="428"/>
      <c r="C7" s="393">
        <f>K1</f>
        <v>2015</v>
      </c>
      <c r="D7" s="393">
        <f>K2</f>
        <v>2016</v>
      </c>
      <c r="E7" s="149" t="s">
        <v>0</v>
      </c>
      <c r="F7" s="428"/>
      <c r="G7" s="428"/>
      <c r="H7" s="428"/>
      <c r="I7" s="428"/>
      <c r="J7" s="428"/>
      <c r="K7" s="428"/>
      <c r="L7" s="428"/>
    </row>
    <row r="8" spans="1:21" ht="14.25" customHeight="1" thickBot="1">
      <c r="A8" s="357" t="s">
        <v>1</v>
      </c>
      <c r="B8" s="357"/>
      <c r="C8" s="503">
        <v>0.75249999999999995</v>
      </c>
      <c r="D8" s="504">
        <v>0.74399999999999999</v>
      </c>
      <c r="E8" s="505">
        <f>SUM(D8-C8)/C8</f>
        <v>-1.1295681063122861E-2</v>
      </c>
      <c r="F8" s="428"/>
      <c r="G8" s="428"/>
      <c r="H8" s="428"/>
      <c r="I8" s="428"/>
      <c r="J8" s="428"/>
      <c r="K8" s="428"/>
      <c r="L8" s="428"/>
      <c r="Q8" s="565"/>
      <c r="R8" s="360"/>
      <c r="S8" s="360"/>
    </row>
    <row r="9" spans="1:21" ht="14.25" customHeight="1">
      <c r="A9" s="394"/>
      <c r="B9" s="395"/>
      <c r="C9" s="19">
        <f>K1</f>
        <v>2015</v>
      </c>
      <c r="D9" s="18"/>
      <c r="E9" s="19">
        <f>K2</f>
        <v>2016</v>
      </c>
      <c r="F9" s="18"/>
      <c r="G9" s="12" t="s">
        <v>2</v>
      </c>
      <c r="H9" s="11"/>
      <c r="I9" s="149"/>
      <c r="J9" s="149"/>
      <c r="K9" s="149"/>
      <c r="L9" s="428"/>
      <c r="Q9" s="565"/>
      <c r="R9" s="360"/>
      <c r="S9" s="360"/>
    </row>
    <row r="10" spans="1:21" ht="14.25" customHeight="1">
      <c r="A10" s="396"/>
      <c r="B10" s="397" t="s">
        <v>3</v>
      </c>
      <c r="C10" s="398" t="s">
        <v>4</v>
      </c>
      <c r="D10" s="399" t="s">
        <v>5</v>
      </c>
      <c r="E10" s="398" t="s">
        <v>4</v>
      </c>
      <c r="F10" s="399" t="s">
        <v>5</v>
      </c>
      <c r="G10" s="400" t="s">
        <v>4</v>
      </c>
      <c r="H10" s="401" t="s">
        <v>5</v>
      </c>
      <c r="I10" s="428"/>
      <c r="J10" s="428"/>
      <c r="K10" s="428"/>
      <c r="L10" s="428"/>
      <c r="Q10" s="565"/>
      <c r="R10" s="360"/>
      <c r="S10" s="360"/>
    </row>
    <row r="11" spans="1:21" ht="14.25" customHeight="1" thickBot="1">
      <c r="A11" s="402" t="s">
        <v>555</v>
      </c>
      <c r="B11" s="403" t="s">
        <v>6</v>
      </c>
      <c r="C11" s="513">
        <v>51.82</v>
      </c>
      <c r="D11" s="512">
        <v>68.709999999999994</v>
      </c>
      <c r="E11" s="513">
        <v>44.23</v>
      </c>
      <c r="F11" s="512">
        <v>59.35</v>
      </c>
      <c r="G11" s="360">
        <v>-0.14599999999999999</v>
      </c>
      <c r="H11" s="361">
        <v>-0.13600000000000001</v>
      </c>
      <c r="I11" s="244"/>
      <c r="J11" s="428"/>
      <c r="K11" s="428"/>
      <c r="L11" s="428"/>
      <c r="Q11" s="565"/>
      <c r="R11" s="360"/>
      <c r="S11" s="360"/>
    </row>
    <row r="12" spans="1:21" ht="14.25" customHeight="1">
      <c r="A12" s="404" t="s">
        <v>556</v>
      </c>
      <c r="B12" s="405" t="s">
        <v>8</v>
      </c>
      <c r="C12" s="516">
        <v>54.3</v>
      </c>
      <c r="D12" s="515">
        <v>72.03</v>
      </c>
      <c r="E12" s="516">
        <v>57.76</v>
      </c>
      <c r="F12" s="515">
        <v>77.510000000000005</v>
      </c>
      <c r="G12" s="560">
        <v>6.4000000000000001E-2</v>
      </c>
      <c r="H12" s="560">
        <v>7.5999999999999998E-2</v>
      </c>
      <c r="I12" s="559"/>
      <c r="J12" s="1" t="s">
        <v>9</v>
      </c>
      <c r="K12" s="17" t="s">
        <v>10</v>
      </c>
      <c r="L12" s="5"/>
      <c r="Q12" s="565"/>
      <c r="R12" s="360"/>
      <c r="S12" s="360"/>
    </row>
    <row r="13" spans="1:21" ht="14.25" customHeight="1">
      <c r="A13" s="404" t="s">
        <v>557</v>
      </c>
      <c r="B13" s="405" t="s">
        <v>8</v>
      </c>
      <c r="C13" s="513">
        <v>48.66</v>
      </c>
      <c r="D13" s="512">
        <v>64.599999999999994</v>
      </c>
      <c r="E13" s="513">
        <v>49.61</v>
      </c>
      <c r="F13" s="512">
        <v>66.599999999999994</v>
      </c>
      <c r="G13" s="360">
        <v>0.02</v>
      </c>
      <c r="H13" s="361">
        <v>3.1E-2</v>
      </c>
      <c r="I13" s="428"/>
      <c r="J13" s="6"/>
      <c r="K13" s="400" t="s">
        <v>4</v>
      </c>
      <c r="L13" s="401" t="s">
        <v>5</v>
      </c>
      <c r="Q13" s="566"/>
      <c r="R13" s="360"/>
      <c r="S13" s="360"/>
    </row>
    <row r="14" spans="1:21" ht="14.25" customHeight="1">
      <c r="A14" s="404" t="s">
        <v>12</v>
      </c>
      <c r="B14" s="405" t="s">
        <v>13</v>
      </c>
      <c r="C14" s="516">
        <v>287.83</v>
      </c>
      <c r="D14" s="515">
        <v>382.18</v>
      </c>
      <c r="E14" s="514">
        <v>240.37</v>
      </c>
      <c r="F14" s="515">
        <v>323.3</v>
      </c>
      <c r="G14" s="561">
        <v>-0.16500000000000001</v>
      </c>
      <c r="H14" s="562">
        <v>-0.154</v>
      </c>
      <c r="I14" s="559"/>
      <c r="J14" s="558" t="s">
        <v>14</v>
      </c>
      <c r="K14" s="554">
        <f>G11*100</f>
        <v>-14.6</v>
      </c>
      <c r="L14" s="413">
        <f>H11*100</f>
        <v>-13.600000000000001</v>
      </c>
      <c r="M14" s="385"/>
      <c r="Q14" s="566"/>
      <c r="R14" s="360"/>
      <c r="S14" s="360"/>
    </row>
    <row r="15" spans="1:21" ht="14.25" customHeight="1">
      <c r="A15" s="404" t="s">
        <v>15</v>
      </c>
      <c r="B15" s="405" t="s">
        <v>16</v>
      </c>
      <c r="C15" s="513">
        <v>1160.1500000000001</v>
      </c>
      <c r="D15" s="512">
        <v>1554.51</v>
      </c>
      <c r="E15" s="511">
        <v>1248.3399999999999</v>
      </c>
      <c r="F15" s="512">
        <v>1687.54</v>
      </c>
      <c r="G15" s="360">
        <v>7.5999999999999998E-2</v>
      </c>
      <c r="H15" s="361">
        <v>8.5999999999999993E-2</v>
      </c>
      <c r="I15" s="428"/>
      <c r="J15" s="406" t="s">
        <v>12</v>
      </c>
      <c r="K15" s="555">
        <f>G14*100</f>
        <v>-16.5</v>
      </c>
      <c r="L15" s="411">
        <f>H14*100</f>
        <v>-15.4</v>
      </c>
      <c r="Q15" s="565"/>
      <c r="R15" s="360"/>
      <c r="S15" s="360"/>
    </row>
    <row r="16" spans="1:21" ht="14.25" customHeight="1">
      <c r="A16" s="404" t="s">
        <v>17</v>
      </c>
      <c r="B16" s="405" t="s">
        <v>13</v>
      </c>
      <c r="C16" s="516">
        <v>11834.79</v>
      </c>
      <c r="D16" s="515">
        <v>15649.08</v>
      </c>
      <c r="E16" s="514">
        <v>9597.56</v>
      </c>
      <c r="F16" s="515">
        <v>12890.73</v>
      </c>
      <c r="G16" s="561">
        <v>-0.189</v>
      </c>
      <c r="H16" s="562">
        <v>-0.17599999999999999</v>
      </c>
      <c r="I16" s="428"/>
      <c r="J16" s="406" t="s">
        <v>7</v>
      </c>
      <c r="K16" s="554">
        <f>G12*100</f>
        <v>6.4</v>
      </c>
      <c r="L16" s="413">
        <f>H12*100</f>
        <v>7.6</v>
      </c>
      <c r="Q16" s="565"/>
      <c r="R16" s="360"/>
      <c r="S16" s="360"/>
    </row>
    <row r="17" spans="1:19" ht="14.25" customHeight="1">
      <c r="A17" s="404" t="s">
        <v>18</v>
      </c>
      <c r="B17" s="405" t="s">
        <v>13</v>
      </c>
      <c r="C17" s="513">
        <v>28611.27</v>
      </c>
      <c r="D17" s="512">
        <v>38017.99</v>
      </c>
      <c r="E17" s="511">
        <v>25645.83</v>
      </c>
      <c r="F17" s="512">
        <v>34462.559999999998</v>
      </c>
      <c r="G17" s="360">
        <v>-0.104</v>
      </c>
      <c r="H17" s="361">
        <v>-9.4E-2</v>
      </c>
      <c r="I17" s="428"/>
      <c r="J17" s="406" t="s">
        <v>11</v>
      </c>
      <c r="K17" s="555">
        <f>G13*100</f>
        <v>2</v>
      </c>
      <c r="L17" s="411">
        <f>H13*100</f>
        <v>3.1</v>
      </c>
      <c r="Q17" s="565"/>
      <c r="R17" s="360"/>
      <c r="S17" s="360"/>
    </row>
    <row r="18" spans="1:19" ht="14.25" customHeight="1">
      <c r="A18" s="404" t="s">
        <v>19</v>
      </c>
      <c r="B18" s="405" t="s">
        <v>13</v>
      </c>
      <c r="C18" s="516">
        <v>165.52</v>
      </c>
      <c r="D18" s="515">
        <v>219.98</v>
      </c>
      <c r="E18" s="514">
        <v>128.49</v>
      </c>
      <c r="F18" s="515">
        <v>172.7</v>
      </c>
      <c r="G18" s="561">
        <v>-0.224</v>
      </c>
      <c r="H18" s="562">
        <v>-0.215</v>
      </c>
      <c r="I18" s="428"/>
      <c r="J18" s="406" t="s">
        <v>17</v>
      </c>
      <c r="K18" s="554">
        <f>G16*100</f>
        <v>-18.899999999999999</v>
      </c>
      <c r="L18" s="413">
        <f>H16*100</f>
        <v>-17.599999999999998</v>
      </c>
      <c r="Q18" s="565"/>
      <c r="R18" s="360"/>
      <c r="S18" s="360"/>
    </row>
    <row r="19" spans="1:19" ht="14.25" customHeight="1">
      <c r="A19" s="404" t="s">
        <v>20</v>
      </c>
      <c r="B19" s="405" t="s">
        <v>13</v>
      </c>
      <c r="C19" s="513">
        <v>932.59</v>
      </c>
      <c r="D19" s="512">
        <v>1239.3900000000001</v>
      </c>
      <c r="E19" s="557">
        <v>846.27075250866164</v>
      </c>
      <c r="F19" s="512">
        <v>1137.4352086763222</v>
      </c>
      <c r="G19" s="360">
        <v>-9.2999999999999999E-2</v>
      </c>
      <c r="H19" s="361">
        <v>-8.2000000000000003E-2</v>
      </c>
      <c r="I19" s="428"/>
      <c r="J19" s="406" t="s">
        <v>18</v>
      </c>
      <c r="K19" s="555">
        <f>G17*100</f>
        <v>-10.4</v>
      </c>
      <c r="L19" s="411">
        <f>H17*100</f>
        <v>-9.4</v>
      </c>
      <c r="Q19" s="565"/>
      <c r="R19" s="360"/>
      <c r="S19" s="360"/>
    </row>
    <row r="20" spans="1:19" ht="14.25" customHeight="1">
      <c r="A20" s="404" t="s">
        <v>21</v>
      </c>
      <c r="B20" s="405" t="s">
        <v>13</v>
      </c>
      <c r="C20" s="516">
        <v>1023.36</v>
      </c>
      <c r="D20" s="515">
        <v>1360.02</v>
      </c>
      <c r="E20" s="514">
        <v>893.93</v>
      </c>
      <c r="F20" s="515">
        <v>1201.49</v>
      </c>
      <c r="G20" s="561">
        <v>-0.126</v>
      </c>
      <c r="H20" s="562">
        <v>-0.11700000000000001</v>
      </c>
      <c r="I20" s="428"/>
      <c r="J20" s="406" t="s">
        <v>15</v>
      </c>
      <c r="K20" s="554">
        <f>G15*100</f>
        <v>7.6</v>
      </c>
      <c r="L20" s="413">
        <f>H15*100</f>
        <v>8.6</v>
      </c>
      <c r="Q20" s="565"/>
      <c r="R20" s="360"/>
      <c r="S20" s="360"/>
    </row>
    <row r="21" spans="1:19" ht="14.25" customHeight="1">
      <c r="A21" s="404" t="s">
        <v>351</v>
      </c>
      <c r="B21" s="405" t="s">
        <v>13</v>
      </c>
      <c r="C21" s="513">
        <v>2266.33</v>
      </c>
      <c r="D21" s="512">
        <v>3011.9</v>
      </c>
      <c r="E21" s="511">
        <v>2141.33</v>
      </c>
      <c r="F21" s="512">
        <v>2878.063025644989</v>
      </c>
      <c r="G21" s="360">
        <v>-5.5E-2</v>
      </c>
      <c r="H21" s="361">
        <v>-4.3999999999999997E-2</v>
      </c>
      <c r="I21" s="428"/>
      <c r="J21" s="406" t="s">
        <v>22</v>
      </c>
      <c r="K21" s="555">
        <f t="shared" ref="K21:L23" si="0">G22*100</f>
        <v>-11.5</v>
      </c>
      <c r="L21" s="411">
        <f t="shared" si="0"/>
        <v>-10.5</v>
      </c>
      <c r="Q21" s="565"/>
      <c r="R21" s="360"/>
      <c r="S21" s="360"/>
    </row>
    <row r="22" spans="1:19" ht="14.25" customHeight="1">
      <c r="A22" s="404" t="s">
        <v>22</v>
      </c>
      <c r="B22" s="405" t="s">
        <v>13</v>
      </c>
      <c r="C22" s="516">
        <v>5493.78</v>
      </c>
      <c r="D22" s="515">
        <v>7301.11</v>
      </c>
      <c r="E22" s="514">
        <v>4864.47</v>
      </c>
      <c r="F22" s="515">
        <v>6538.11</v>
      </c>
      <c r="G22" s="561">
        <v>-0.115</v>
      </c>
      <c r="H22" s="562">
        <v>-0.105</v>
      </c>
      <c r="I22" s="428"/>
      <c r="J22" s="406" t="s">
        <v>23</v>
      </c>
      <c r="K22" s="554">
        <f t="shared" si="0"/>
        <v>4.7</v>
      </c>
      <c r="L22" s="413">
        <f t="shared" si="0"/>
        <v>5.8999999999999995</v>
      </c>
    </row>
    <row r="23" spans="1:19" ht="14.25" customHeight="1" thickBot="1">
      <c r="A23" s="404" t="s">
        <v>23</v>
      </c>
      <c r="B23" s="405" t="s">
        <v>13</v>
      </c>
      <c r="C23" s="513">
        <v>1785.9</v>
      </c>
      <c r="D23" s="512">
        <v>2373.41</v>
      </c>
      <c r="E23" s="511">
        <v>1870.49</v>
      </c>
      <c r="F23" s="512">
        <v>2514.04</v>
      </c>
      <c r="G23" s="360">
        <v>4.7E-2</v>
      </c>
      <c r="H23" s="361">
        <v>5.8999999999999997E-2</v>
      </c>
      <c r="I23" s="428"/>
      <c r="J23" s="407" t="s">
        <v>24</v>
      </c>
      <c r="K23" s="556">
        <f t="shared" si="0"/>
        <v>8.3000000000000007</v>
      </c>
      <c r="L23" s="412">
        <f t="shared" si="0"/>
        <v>9.6</v>
      </c>
    </row>
    <row r="24" spans="1:19" ht="14.25" customHeight="1" thickBot="1">
      <c r="A24" s="408" t="s">
        <v>24</v>
      </c>
      <c r="B24" s="409" t="s">
        <v>13</v>
      </c>
      <c r="C24" s="553">
        <v>1926.98</v>
      </c>
      <c r="D24" s="552">
        <v>2560.92</v>
      </c>
      <c r="E24" s="551">
        <v>2087.38</v>
      </c>
      <c r="F24" s="552">
        <v>2805.56</v>
      </c>
      <c r="G24" s="563">
        <v>8.3000000000000004E-2</v>
      </c>
      <c r="H24" s="564">
        <v>9.6000000000000002E-2</v>
      </c>
      <c r="I24" s="428"/>
      <c r="J24" s="150"/>
      <c r="K24" s="410"/>
      <c r="L24" s="410"/>
    </row>
    <row r="25" spans="1:19" ht="14.25" customHeight="1"/>
    <row r="26" spans="1:19" ht="14.25" customHeight="1">
      <c r="A26" s="386" t="s">
        <v>554</v>
      </c>
    </row>
    <row r="27" spans="1:19">
      <c r="A27" s="384" t="s">
        <v>558</v>
      </c>
    </row>
    <row r="28" spans="1:19">
      <c r="A28" s="384"/>
      <c r="B28" s="385"/>
      <c r="C28" s="385"/>
      <c r="D28" s="385"/>
      <c r="E28" s="385"/>
      <c r="F28" s="385"/>
      <c r="G28" s="385"/>
    </row>
    <row r="29" spans="1:19">
      <c r="A29" s="386" t="s">
        <v>25</v>
      </c>
      <c r="B29" s="385"/>
      <c r="C29" s="385"/>
      <c r="D29" s="385"/>
      <c r="E29" s="385"/>
      <c r="F29" s="385"/>
      <c r="G29" s="385"/>
    </row>
    <row r="30" spans="1:19">
      <c r="A30" s="377" t="s">
        <v>559</v>
      </c>
    </row>
    <row r="31" spans="1:19">
      <c r="A31" s="377" t="s">
        <v>26</v>
      </c>
    </row>
    <row r="32" spans="1:19">
      <c r="A32" s="384" t="s">
        <v>619</v>
      </c>
    </row>
    <row r="33" spans="1:8">
      <c r="A33" s="384" t="s">
        <v>620</v>
      </c>
    </row>
    <row r="34" spans="1:8">
      <c r="A34" s="377" t="s">
        <v>560</v>
      </c>
    </row>
    <row r="35" spans="1:8">
      <c r="A35" s="377" t="s">
        <v>27</v>
      </c>
    </row>
    <row r="36" spans="1:8">
      <c r="A36" s="377" t="s">
        <v>28</v>
      </c>
    </row>
    <row r="40" spans="1:8">
      <c r="H40" s="384" t="s">
        <v>54</v>
      </c>
    </row>
  </sheetData>
  <mergeCells count="5">
    <mergeCell ref="C9:D9"/>
    <mergeCell ref="E9:F9"/>
    <mergeCell ref="G9:H9"/>
    <mergeCell ref="J12:J13"/>
    <mergeCell ref="K12:L12"/>
  </mergeCells>
  <conditionalFormatting sqref="G11:H11 G13:H13 G15:H15 G17:H17 G19:H19 G21:H21 G23:H23">
    <cfRule type="containsText" dxfId="5" priority="9" operator="containsText" text="Data Missing">
      <formula>NOT(ISERROR(SEARCH("Data Missing",G11)))</formula>
    </cfRule>
  </conditionalFormatting>
  <conditionalFormatting sqref="R8:S8 R10:S10 R12:S12 R14:S21">
    <cfRule type="containsText" dxfId="4" priority="4" operator="containsText" text="Data Missing">
      <formula>NOT(ISERROR(SEARCH("Data Missing",R8)))</formula>
    </cfRule>
  </conditionalFormatting>
  <conditionalFormatting sqref="R13:S13">
    <cfRule type="containsText" dxfId="3" priority="3" operator="containsText" text="Data Missing">
      <formula>NOT(ISERROR(SEARCH("Data Missing",R13)))</formula>
    </cfRule>
  </conditionalFormatting>
  <conditionalFormatting sqref="R11:S11">
    <cfRule type="containsText" dxfId="2" priority="2" operator="containsText" text="Data Missing">
      <formula>NOT(ISERROR(SEARCH("Data Missing",R11)))</formula>
    </cfRule>
  </conditionalFormatting>
  <conditionalFormatting sqref="R9:S9">
    <cfRule type="containsText" dxfId="1" priority="1" operator="containsText" text="Data Missing">
      <formula>NOT(ISERROR(SEARCH("Data Missing",R9)))</formula>
    </cfRule>
  </conditionalFormatting>
  <pageMargins left="0.35433070866141736" right="0.39370078740157483" top="0.55118110236220474" bottom="0.35433070866141736" header="0.51181102362204722" footer="0.51181102362204722"/>
  <pageSetup paperSize="9" scale="68"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[1]Data!#REF!</xm:f>
          </x14:formula1>
          <xm:sqref>K1:K2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52"/>
  <sheetViews>
    <sheetView showGridLines="0" workbookViewId="0"/>
  </sheetViews>
  <sheetFormatPr defaultRowHeight="15"/>
  <cols>
    <col min="1" max="3" width="9.140625" style="428"/>
    <col min="4" max="5" width="15.140625" style="428" customWidth="1"/>
    <col min="6" max="16384" width="9.140625" style="428"/>
  </cols>
  <sheetData>
    <row r="5" spans="1:6" ht="15.75" thickBot="1">
      <c r="A5" s="149" t="s">
        <v>561</v>
      </c>
      <c r="B5" s="29"/>
      <c r="C5" s="30"/>
      <c r="D5" s="16" t="s">
        <v>562</v>
      </c>
      <c r="E5" s="16"/>
    </row>
    <row r="6" spans="1:6" ht="15.75" thickBot="1">
      <c r="A6" s="45" t="s">
        <v>37</v>
      </c>
      <c r="B6" s="46" t="s">
        <v>29</v>
      </c>
      <c r="C6" s="28"/>
      <c r="D6" s="15" t="s">
        <v>42</v>
      </c>
      <c r="E6" s="15"/>
      <c r="F6" s="43"/>
    </row>
    <row r="7" spans="1:6" ht="15.75" thickBot="1">
      <c r="A7" s="47">
        <v>35247</v>
      </c>
      <c r="B7" s="34">
        <v>0.77310000000000001</v>
      </c>
      <c r="D7" s="40" t="s">
        <v>40</v>
      </c>
      <c r="E7" s="41" t="s">
        <v>41</v>
      </c>
      <c r="F7" s="44"/>
    </row>
    <row r="8" spans="1:6">
      <c r="A8" s="47">
        <v>35278</v>
      </c>
      <c r="B8" s="35">
        <v>0.79090000000000005</v>
      </c>
      <c r="D8" s="38">
        <f>LARGE(A$7:A$540,24)</f>
        <v>42005</v>
      </c>
      <c r="E8" s="567">
        <f t="shared" ref="E8:E31" si="0">SUMIF(A$7:A$540,D8,B$7:B$540)</f>
        <v>0.80600000000000005</v>
      </c>
    </row>
    <row r="9" spans="1:6">
      <c r="A9" s="47">
        <v>35309</v>
      </c>
      <c r="B9" s="34">
        <v>0.79239999999999999</v>
      </c>
      <c r="D9" s="39">
        <f>LARGE(A$7:A$540,23)</f>
        <v>42036</v>
      </c>
      <c r="E9" s="568">
        <f t="shared" si="0"/>
        <v>0.77929999999999999</v>
      </c>
    </row>
    <row r="10" spans="1:6">
      <c r="A10" s="47">
        <v>35339</v>
      </c>
      <c r="B10" s="35">
        <v>0.79189999999999994</v>
      </c>
      <c r="D10" s="38">
        <f>LARGE(A$7:A$540,22)</f>
        <v>42064</v>
      </c>
      <c r="E10" s="569">
        <f t="shared" si="0"/>
        <v>0.77300000000000002</v>
      </c>
    </row>
    <row r="11" spans="1:6">
      <c r="A11" s="47">
        <v>35370</v>
      </c>
      <c r="B11" s="34">
        <v>0.80959999999999999</v>
      </c>
      <c r="D11" s="39">
        <f>LARGE(A$7:A$540,21)</f>
        <v>42095</v>
      </c>
      <c r="E11" s="568">
        <f t="shared" si="0"/>
        <v>0.77349999999999997</v>
      </c>
    </row>
    <row r="12" spans="1:6">
      <c r="A12" s="47">
        <v>35400</v>
      </c>
      <c r="B12" s="35">
        <v>0.7965000000000001</v>
      </c>
      <c r="D12" s="38">
        <f>LARGE(A$7:A$540,20)</f>
        <v>42125</v>
      </c>
      <c r="E12" s="569">
        <f t="shared" si="0"/>
        <v>0.78859999999999997</v>
      </c>
    </row>
    <row r="13" spans="1:6">
      <c r="A13" s="47">
        <v>35431</v>
      </c>
      <c r="B13" s="34">
        <v>0.76200000000000001</v>
      </c>
      <c r="D13" s="39">
        <f>LARGE(A$7:A$540,19)</f>
        <v>42156</v>
      </c>
      <c r="E13" s="568">
        <f t="shared" si="0"/>
        <v>0.77229999999999999</v>
      </c>
    </row>
    <row r="14" spans="1:6">
      <c r="A14" s="47">
        <v>35462</v>
      </c>
      <c r="B14" s="35">
        <v>0.77579999999999993</v>
      </c>
      <c r="D14" s="38">
        <f>LARGE(A$7:A$540,18)</f>
        <v>42186</v>
      </c>
      <c r="E14" s="569">
        <f t="shared" si="0"/>
        <v>0.7409</v>
      </c>
    </row>
    <row r="15" spans="1:6">
      <c r="A15" s="47">
        <v>35490</v>
      </c>
      <c r="B15" s="34">
        <v>0.78650000000000009</v>
      </c>
      <c r="D15" s="39">
        <f>LARGE(A$7:A$540,17)</f>
        <v>42217</v>
      </c>
      <c r="E15" s="568">
        <f t="shared" si="0"/>
        <v>0.72960000000000003</v>
      </c>
    </row>
    <row r="16" spans="1:6">
      <c r="A16" s="47">
        <v>35521</v>
      </c>
      <c r="B16" s="35">
        <v>0.78110000000000002</v>
      </c>
      <c r="D16" s="38">
        <f>LARGE(A$7:A$540,16)</f>
        <v>42248</v>
      </c>
      <c r="E16" s="569">
        <f t="shared" si="0"/>
        <v>0.70550000000000002</v>
      </c>
    </row>
    <row r="17" spans="1:5">
      <c r="A17" s="47">
        <v>35551</v>
      </c>
      <c r="B17" s="34">
        <v>0.76129999999999998</v>
      </c>
      <c r="D17" s="39">
        <f>LARGE(A$7:A$540,15)</f>
        <v>42278</v>
      </c>
      <c r="E17" s="568">
        <f t="shared" si="0"/>
        <v>0.72060000000000002</v>
      </c>
    </row>
    <row r="18" spans="1:5">
      <c r="A18" s="47">
        <v>35582</v>
      </c>
      <c r="B18" s="35">
        <v>0.74549999999999994</v>
      </c>
      <c r="D18" s="38">
        <f>LARGE(A$7:A$540,14)</f>
        <v>42309</v>
      </c>
      <c r="E18" s="569">
        <f t="shared" si="0"/>
        <v>0.71499999999999997</v>
      </c>
    </row>
    <row r="19" spans="1:5">
      <c r="A19" s="47">
        <v>35612</v>
      </c>
      <c r="B19" s="34">
        <v>0.74519999999999997</v>
      </c>
      <c r="D19" s="39">
        <f>LARGE(A$7:A$540,13)</f>
        <v>42339</v>
      </c>
      <c r="E19" s="568">
        <f t="shared" si="0"/>
        <v>0.72519999999999996</v>
      </c>
    </row>
    <row r="20" spans="1:5">
      <c r="A20" s="47">
        <v>35643</v>
      </c>
      <c r="B20" s="35">
        <v>0.73439999999999994</v>
      </c>
      <c r="D20" s="38">
        <f>LARGE(A$7:A$540,12)</f>
        <v>42370</v>
      </c>
      <c r="E20" s="570">
        <f t="shared" si="0"/>
        <v>0.70150000000000001</v>
      </c>
    </row>
    <row r="21" spans="1:5">
      <c r="A21" s="47">
        <v>35674</v>
      </c>
      <c r="B21" s="34">
        <v>0.7198</v>
      </c>
      <c r="D21" s="39">
        <f>LARGE(A$7:A$540,11)</f>
        <v>42401</v>
      </c>
      <c r="E21" s="571">
        <f t="shared" si="0"/>
        <v>0.71399999999999997</v>
      </c>
    </row>
    <row r="22" spans="1:5">
      <c r="A22" s="47">
        <v>35704</v>
      </c>
      <c r="B22" s="35">
        <v>0.7036</v>
      </c>
      <c r="D22" s="38">
        <f>LARGE(A$7:A$540,10)</f>
        <v>42430</v>
      </c>
      <c r="E22" s="570">
        <f t="shared" si="0"/>
        <v>0.751</v>
      </c>
    </row>
    <row r="23" spans="1:5">
      <c r="A23" s="47">
        <v>35735</v>
      </c>
      <c r="B23" s="34">
        <v>0.68030000000000002</v>
      </c>
      <c r="D23" s="39">
        <f>LARGE(A$7:A$540,9)</f>
        <v>42461</v>
      </c>
      <c r="E23" s="571">
        <f t="shared" si="0"/>
        <v>0.76629999999999998</v>
      </c>
    </row>
    <row r="24" spans="1:5">
      <c r="A24" s="47">
        <v>35765</v>
      </c>
      <c r="B24" s="35">
        <v>0.65269999999999995</v>
      </c>
      <c r="D24" s="38">
        <f>LARGE(A$7:A$540,8)</f>
        <v>42491</v>
      </c>
      <c r="E24" s="570">
        <f t="shared" si="0"/>
        <v>0.73219999999999996</v>
      </c>
    </row>
    <row r="25" spans="1:5">
      <c r="A25" s="47">
        <v>35796</v>
      </c>
      <c r="B25" s="34">
        <v>0.66930000000000012</v>
      </c>
      <c r="D25" s="39">
        <f>LARGE(A$7:A$540,7)</f>
        <v>42522</v>
      </c>
      <c r="E25" s="571">
        <f t="shared" si="0"/>
        <v>0.74070000000000003</v>
      </c>
    </row>
    <row r="26" spans="1:5">
      <c r="A26" s="47">
        <v>35827</v>
      </c>
      <c r="B26" s="35">
        <v>0.67449999999999999</v>
      </c>
      <c r="D26" s="38">
        <f>LARGE(A$7:A$540,6)</f>
        <v>42552</v>
      </c>
      <c r="E26" s="570">
        <f t="shared" si="0"/>
        <v>0.753</v>
      </c>
    </row>
    <row r="27" spans="1:5">
      <c r="A27" s="47">
        <v>35855</v>
      </c>
      <c r="B27" s="34">
        <v>0.66339999999999999</v>
      </c>
      <c r="D27" s="39">
        <f>LARGE(A$7:A$540,5)</f>
        <v>42583</v>
      </c>
      <c r="E27" s="571">
        <f t="shared" si="0"/>
        <v>0.76229999999999998</v>
      </c>
    </row>
    <row r="28" spans="1:5">
      <c r="A28" s="47">
        <v>35886</v>
      </c>
      <c r="B28" s="35">
        <v>0.64989999999999992</v>
      </c>
      <c r="D28" s="38">
        <f>LARGE(A$7:A$540,4)</f>
        <v>42614</v>
      </c>
      <c r="E28" s="570">
        <f t="shared" si="0"/>
        <v>0.75919999999999999</v>
      </c>
    </row>
    <row r="29" spans="1:5">
      <c r="A29" s="47">
        <v>35916</v>
      </c>
      <c r="B29" s="34">
        <v>0.62360000000000004</v>
      </c>
      <c r="D29" s="39">
        <f>LARGE(A$7:A$540,3)</f>
        <v>42644</v>
      </c>
      <c r="E29" s="571">
        <f t="shared" si="0"/>
        <v>0.76160000000000005</v>
      </c>
    </row>
    <row r="30" spans="1:5">
      <c r="A30" s="47">
        <v>35947</v>
      </c>
      <c r="B30" s="35">
        <v>0.61350000000000005</v>
      </c>
      <c r="D30" s="38">
        <f>LARGE(A$7:A$540,2)</f>
        <v>42675</v>
      </c>
      <c r="E30" s="570">
        <f t="shared" si="0"/>
        <v>0.75290000000000001</v>
      </c>
    </row>
    <row r="31" spans="1:5" ht="15.75" thickBot="1">
      <c r="A31" s="47">
        <v>35977</v>
      </c>
      <c r="B31" s="34">
        <v>0.61129999999999995</v>
      </c>
      <c r="D31" s="42">
        <f>LARGE(A$7:A$540,1)</f>
        <v>42705</v>
      </c>
      <c r="E31" s="572">
        <f t="shared" si="0"/>
        <v>0.73350000000000004</v>
      </c>
    </row>
    <row r="32" spans="1:5">
      <c r="A32" s="47">
        <v>36008</v>
      </c>
      <c r="B32" s="35">
        <v>0.56910000000000005</v>
      </c>
    </row>
    <row r="33" spans="1:2">
      <c r="A33" s="47">
        <v>36039</v>
      </c>
      <c r="B33" s="34">
        <v>0.59450000000000003</v>
      </c>
    </row>
    <row r="34" spans="1:2">
      <c r="A34" s="47">
        <v>36069</v>
      </c>
      <c r="B34" s="35">
        <v>0.62629999999999997</v>
      </c>
    </row>
    <row r="35" spans="1:2">
      <c r="A35" s="47">
        <v>36100</v>
      </c>
      <c r="B35" s="34">
        <v>0.63229999999999997</v>
      </c>
    </row>
    <row r="36" spans="1:2">
      <c r="A36" s="47">
        <v>36130</v>
      </c>
      <c r="B36" s="35">
        <v>0.6139</v>
      </c>
    </row>
    <row r="37" spans="1:2">
      <c r="A37" s="47">
        <v>36161</v>
      </c>
      <c r="B37" s="34">
        <v>0.62860000000000005</v>
      </c>
    </row>
    <row r="38" spans="1:2">
      <c r="A38" s="47">
        <v>36192</v>
      </c>
      <c r="B38" s="35">
        <v>0.62250000000000005</v>
      </c>
    </row>
    <row r="39" spans="1:2">
      <c r="A39" s="47">
        <v>36220</v>
      </c>
      <c r="B39" s="34">
        <v>0.62929999999999997</v>
      </c>
    </row>
    <row r="40" spans="1:2">
      <c r="A40" s="47">
        <v>36251</v>
      </c>
      <c r="B40" s="35">
        <v>0.65980000000000005</v>
      </c>
    </row>
    <row r="41" spans="1:2">
      <c r="A41" s="47">
        <v>36281</v>
      </c>
      <c r="B41" s="34">
        <v>0.64190000000000003</v>
      </c>
    </row>
    <row r="42" spans="1:2">
      <c r="A42" s="47">
        <v>36312</v>
      </c>
      <c r="B42" s="35">
        <v>0.65959999999999996</v>
      </c>
    </row>
    <row r="43" spans="1:2">
      <c r="A43" s="47">
        <v>36342</v>
      </c>
      <c r="B43" s="34">
        <v>0.65200000000000002</v>
      </c>
    </row>
    <row r="44" spans="1:2">
      <c r="A44" s="47">
        <v>36373</v>
      </c>
      <c r="B44" s="35">
        <v>0.63790000000000002</v>
      </c>
    </row>
    <row r="45" spans="1:2">
      <c r="A45" s="47">
        <v>36404</v>
      </c>
      <c r="B45" s="34">
        <v>0.65359999999999996</v>
      </c>
    </row>
    <row r="46" spans="1:2">
      <c r="A46" s="47">
        <v>36434</v>
      </c>
      <c r="B46" s="35">
        <v>0.64459999999999995</v>
      </c>
    </row>
    <row r="47" spans="1:2">
      <c r="A47" s="47">
        <v>36465</v>
      </c>
      <c r="B47" s="34">
        <v>0.63759999999999994</v>
      </c>
    </row>
    <row r="48" spans="1:2">
      <c r="A48" s="47">
        <v>36495</v>
      </c>
      <c r="B48" s="35">
        <v>0.65380000000000005</v>
      </c>
    </row>
    <row r="49" spans="1:2">
      <c r="A49" s="47">
        <v>36526</v>
      </c>
      <c r="B49" s="34">
        <v>0.63819999999999999</v>
      </c>
    </row>
    <row r="50" spans="1:2">
      <c r="A50" s="47">
        <v>36557</v>
      </c>
      <c r="B50" s="35">
        <v>0.61429999999999996</v>
      </c>
    </row>
    <row r="51" spans="1:2">
      <c r="A51" s="47">
        <v>36586</v>
      </c>
      <c r="B51" s="34">
        <v>0.60550000000000004</v>
      </c>
    </row>
    <row r="52" spans="1:2">
      <c r="A52" s="47">
        <v>36617</v>
      </c>
      <c r="B52" s="35">
        <v>0.59089999999999998</v>
      </c>
    </row>
    <row r="53" spans="1:2">
      <c r="A53" s="47">
        <v>36647</v>
      </c>
      <c r="B53" s="34">
        <v>0.57350000000000001</v>
      </c>
    </row>
    <row r="54" spans="1:2">
      <c r="A54" s="47">
        <v>36678</v>
      </c>
      <c r="B54" s="35">
        <v>0.59860000000000002</v>
      </c>
    </row>
    <row r="55" spans="1:2">
      <c r="A55" s="47">
        <v>36708</v>
      </c>
      <c r="B55" s="34">
        <v>0.58220000000000005</v>
      </c>
    </row>
    <row r="56" spans="1:2">
      <c r="A56" s="47">
        <v>36739</v>
      </c>
      <c r="B56" s="35">
        <v>0.57479999999999998</v>
      </c>
    </row>
    <row r="57" spans="1:2">
      <c r="A57" s="47">
        <v>36770</v>
      </c>
      <c r="B57" s="34">
        <v>0.54330000000000001</v>
      </c>
    </row>
    <row r="58" spans="1:2">
      <c r="A58" s="47">
        <v>36800</v>
      </c>
      <c r="B58" s="35">
        <v>0.51480000000000004</v>
      </c>
    </row>
    <row r="59" spans="1:2">
      <c r="A59" s="47">
        <v>36831</v>
      </c>
      <c r="B59" s="34">
        <v>0.52270000000000005</v>
      </c>
    </row>
    <row r="60" spans="1:2">
      <c r="A60" s="47">
        <v>36861</v>
      </c>
      <c r="B60" s="35">
        <v>0.55400000000000005</v>
      </c>
    </row>
    <row r="61" spans="1:2">
      <c r="A61" s="47">
        <v>36892</v>
      </c>
      <c r="B61" s="34">
        <v>0.54659999999999997</v>
      </c>
    </row>
    <row r="62" spans="1:2">
      <c r="A62" s="47">
        <v>36923</v>
      </c>
      <c r="B62" s="35">
        <v>0.52500000000000002</v>
      </c>
    </row>
    <row r="63" spans="1:2">
      <c r="A63" s="47">
        <v>36951</v>
      </c>
      <c r="B63" s="34">
        <v>0.48899999999999999</v>
      </c>
    </row>
    <row r="64" spans="1:2">
      <c r="A64" s="47">
        <v>36982</v>
      </c>
      <c r="B64" s="35">
        <v>0.50880000000000003</v>
      </c>
    </row>
    <row r="65" spans="1:2">
      <c r="A65" s="47">
        <v>37012</v>
      </c>
      <c r="B65" s="34">
        <v>0.51</v>
      </c>
    </row>
    <row r="66" spans="1:2">
      <c r="A66" s="47">
        <v>37043</v>
      </c>
      <c r="B66" s="35">
        <v>0.50749999999999995</v>
      </c>
    </row>
    <row r="67" spans="1:2">
      <c r="A67" s="47">
        <v>37073</v>
      </c>
      <c r="B67" s="34">
        <v>0.50409999999999999</v>
      </c>
    </row>
    <row r="68" spans="1:2">
      <c r="A68" s="47">
        <v>37104</v>
      </c>
      <c r="B68" s="35">
        <v>0.53420000000000001</v>
      </c>
    </row>
    <row r="69" spans="1:2">
      <c r="A69" s="47">
        <v>37135</v>
      </c>
      <c r="B69" s="34">
        <v>0.49230000000000002</v>
      </c>
    </row>
    <row r="70" spans="1:2">
      <c r="A70" s="47">
        <v>37165</v>
      </c>
      <c r="B70" s="35">
        <v>0.50529999999999997</v>
      </c>
    </row>
    <row r="71" spans="1:2">
      <c r="A71" s="47">
        <v>37196</v>
      </c>
      <c r="B71" s="34">
        <v>0.52</v>
      </c>
    </row>
    <row r="72" spans="1:2">
      <c r="A72" s="47">
        <v>37226</v>
      </c>
      <c r="B72" s="35">
        <v>0.51060000000000005</v>
      </c>
    </row>
    <row r="73" spans="1:2">
      <c r="A73" s="47">
        <v>37257</v>
      </c>
      <c r="B73" s="34">
        <v>0.50780000000000003</v>
      </c>
    </row>
    <row r="74" spans="1:2">
      <c r="A74" s="47">
        <v>37288</v>
      </c>
      <c r="B74" s="35">
        <v>0.51639999999999997</v>
      </c>
    </row>
    <row r="75" spans="1:2">
      <c r="A75" s="47">
        <v>37316</v>
      </c>
      <c r="B75" s="34">
        <v>0.53159999999999996</v>
      </c>
    </row>
    <row r="76" spans="1:2">
      <c r="A76" s="47">
        <v>37347</v>
      </c>
      <c r="B76" s="35">
        <v>0.53969999999999996</v>
      </c>
    </row>
    <row r="77" spans="1:2">
      <c r="A77" s="47">
        <v>37377</v>
      </c>
      <c r="B77" s="34">
        <v>0.56740000000000002</v>
      </c>
    </row>
    <row r="78" spans="1:2">
      <c r="A78" s="47">
        <v>37408</v>
      </c>
      <c r="B78" s="35">
        <v>0.56479999999999997</v>
      </c>
    </row>
    <row r="79" spans="1:2">
      <c r="A79" s="47">
        <v>37438</v>
      </c>
      <c r="B79" s="34">
        <v>0.54779999999999995</v>
      </c>
    </row>
    <row r="80" spans="1:2">
      <c r="A80" s="47">
        <v>37469</v>
      </c>
      <c r="B80" s="35">
        <v>0.55320000000000003</v>
      </c>
    </row>
    <row r="81" spans="1:2">
      <c r="A81" s="47">
        <v>37500</v>
      </c>
      <c r="B81" s="34">
        <v>0.54349999999999998</v>
      </c>
    </row>
    <row r="82" spans="1:2">
      <c r="A82" s="47">
        <v>37530</v>
      </c>
      <c r="B82" s="35">
        <v>0.5534</v>
      </c>
    </row>
    <row r="83" spans="1:2">
      <c r="A83" s="47">
        <v>37561</v>
      </c>
      <c r="B83" s="34">
        <v>0.56079999999999997</v>
      </c>
    </row>
    <row r="84" spans="1:2">
      <c r="A84" s="47">
        <v>37591</v>
      </c>
      <c r="B84" s="35">
        <v>0.56620000000000004</v>
      </c>
    </row>
    <row r="85" spans="1:2">
      <c r="A85" s="47">
        <v>37622</v>
      </c>
      <c r="B85" s="34">
        <v>0.58840000000000003</v>
      </c>
    </row>
    <row r="86" spans="1:2">
      <c r="A86" s="47">
        <v>37653</v>
      </c>
      <c r="B86" s="35">
        <v>0.60540000000000005</v>
      </c>
    </row>
    <row r="87" spans="1:2">
      <c r="A87" s="47">
        <v>37681</v>
      </c>
      <c r="B87" s="34">
        <v>0.60360000000000003</v>
      </c>
    </row>
    <row r="88" spans="1:2">
      <c r="A88" s="47">
        <v>37712</v>
      </c>
      <c r="B88" s="35">
        <v>0.623</v>
      </c>
    </row>
    <row r="89" spans="1:2">
      <c r="A89" s="47">
        <v>37742</v>
      </c>
      <c r="B89" s="34">
        <v>0.6522</v>
      </c>
    </row>
    <row r="90" spans="1:2">
      <c r="A90" s="47">
        <v>37773</v>
      </c>
      <c r="B90" s="35">
        <v>0.66739999999999999</v>
      </c>
    </row>
    <row r="91" spans="1:2">
      <c r="A91" s="47">
        <v>37803</v>
      </c>
      <c r="B91" s="34">
        <v>0.65290000000000004</v>
      </c>
    </row>
    <row r="92" spans="1:2">
      <c r="A92" s="47">
        <v>37834</v>
      </c>
      <c r="B92" s="35">
        <v>0.64</v>
      </c>
    </row>
    <row r="93" spans="1:2">
      <c r="A93" s="47">
        <v>37865</v>
      </c>
      <c r="B93" s="34">
        <v>0.68010000000000004</v>
      </c>
    </row>
    <row r="94" spans="1:2">
      <c r="A94" s="47">
        <v>37895</v>
      </c>
      <c r="B94" s="35">
        <v>0.7046</v>
      </c>
    </row>
    <row r="95" spans="1:2">
      <c r="A95" s="47">
        <v>37926</v>
      </c>
      <c r="B95" s="34">
        <v>0.72060000000000002</v>
      </c>
    </row>
    <row r="96" spans="1:2">
      <c r="A96" s="47">
        <v>37956</v>
      </c>
      <c r="B96" s="35">
        <v>0.75</v>
      </c>
    </row>
    <row r="97" spans="1:2">
      <c r="A97" s="47">
        <v>37987</v>
      </c>
      <c r="B97" s="34">
        <v>0.76439999999999997</v>
      </c>
    </row>
    <row r="98" spans="1:2">
      <c r="A98" s="47">
        <v>38018</v>
      </c>
      <c r="B98" s="35">
        <v>0.77080000000000004</v>
      </c>
    </row>
    <row r="99" spans="1:2">
      <c r="A99" s="47">
        <v>38047</v>
      </c>
      <c r="B99" s="34">
        <v>0.75890000000000002</v>
      </c>
    </row>
    <row r="100" spans="1:2">
      <c r="A100" s="47">
        <v>38078</v>
      </c>
      <c r="B100" s="35">
        <v>0.72199999999999998</v>
      </c>
    </row>
    <row r="101" spans="1:2">
      <c r="A101" s="47">
        <v>38108</v>
      </c>
      <c r="B101" s="34">
        <v>0.71430000000000005</v>
      </c>
    </row>
    <row r="102" spans="1:2">
      <c r="A102" s="47">
        <v>38139</v>
      </c>
      <c r="B102" s="35">
        <v>0.68889999999999996</v>
      </c>
    </row>
    <row r="103" spans="1:2">
      <c r="A103" s="47">
        <v>38169</v>
      </c>
      <c r="B103" s="34">
        <v>0.6986</v>
      </c>
    </row>
    <row r="104" spans="1:2">
      <c r="A104" s="47">
        <v>38200</v>
      </c>
      <c r="B104" s="35">
        <v>0.70109999999999995</v>
      </c>
    </row>
    <row r="105" spans="1:2">
      <c r="A105" s="47">
        <v>38231</v>
      </c>
      <c r="B105" s="34">
        <v>0.7147</v>
      </c>
    </row>
    <row r="106" spans="1:2">
      <c r="A106" s="47">
        <v>38261</v>
      </c>
      <c r="B106" s="35">
        <v>0.74609999999999999</v>
      </c>
    </row>
    <row r="107" spans="1:2">
      <c r="A107" s="47">
        <v>38292</v>
      </c>
      <c r="B107" s="34">
        <v>0.77749999999999997</v>
      </c>
    </row>
    <row r="108" spans="1:2">
      <c r="A108" s="47">
        <v>38322</v>
      </c>
      <c r="B108" s="35">
        <v>0.77900000000000003</v>
      </c>
    </row>
    <row r="109" spans="1:2">
      <c r="A109" s="47">
        <v>38353</v>
      </c>
      <c r="B109" s="34">
        <v>0.77439999999999998</v>
      </c>
    </row>
    <row r="110" spans="1:2">
      <c r="A110" s="47">
        <v>38384</v>
      </c>
      <c r="B110" s="35">
        <v>0.79049999999999998</v>
      </c>
    </row>
    <row r="111" spans="1:2">
      <c r="A111" s="47">
        <v>38412</v>
      </c>
      <c r="B111" s="34">
        <v>0.77190000000000003</v>
      </c>
    </row>
    <row r="112" spans="1:2">
      <c r="A112" s="47">
        <v>38443</v>
      </c>
      <c r="B112" s="35">
        <v>0.78110000000000002</v>
      </c>
    </row>
    <row r="113" spans="1:2">
      <c r="A113" s="47">
        <v>38473</v>
      </c>
      <c r="B113" s="34">
        <v>0.75570000000000004</v>
      </c>
    </row>
    <row r="114" spans="1:2">
      <c r="A114" s="47">
        <v>38504</v>
      </c>
      <c r="B114" s="35">
        <v>0.76370000000000005</v>
      </c>
    </row>
    <row r="115" spans="1:2">
      <c r="A115" s="47">
        <v>38534</v>
      </c>
      <c r="B115" s="34">
        <v>0.75949999999999995</v>
      </c>
    </row>
    <row r="116" spans="1:2">
      <c r="A116" s="47">
        <v>38565</v>
      </c>
      <c r="B116" s="35">
        <v>0.74709999999999999</v>
      </c>
    </row>
    <row r="117" spans="1:2">
      <c r="A117" s="47">
        <v>38596</v>
      </c>
      <c r="B117" s="34">
        <v>0.76149999999999995</v>
      </c>
    </row>
    <row r="118" spans="1:2">
      <c r="A118" s="47">
        <v>38626</v>
      </c>
      <c r="B118" s="35">
        <v>0.74870000000000003</v>
      </c>
    </row>
    <row r="119" spans="1:2">
      <c r="A119" s="47">
        <v>38657</v>
      </c>
      <c r="B119" s="34">
        <v>0.7389</v>
      </c>
    </row>
    <row r="120" spans="1:2">
      <c r="A120" s="47">
        <v>38687</v>
      </c>
      <c r="B120" s="35">
        <v>0.73370000000000002</v>
      </c>
    </row>
    <row r="121" spans="1:2">
      <c r="A121" s="47">
        <v>38718</v>
      </c>
      <c r="B121" s="34">
        <v>0.751</v>
      </c>
    </row>
    <row r="122" spans="1:2">
      <c r="A122" s="47">
        <v>38749</v>
      </c>
      <c r="B122" s="35">
        <v>0.73819999999999997</v>
      </c>
    </row>
    <row r="123" spans="1:2">
      <c r="A123" s="47">
        <v>38777</v>
      </c>
      <c r="B123" s="34">
        <v>0.71589999999999998</v>
      </c>
    </row>
    <row r="124" spans="1:2">
      <c r="A124" s="47">
        <v>38808</v>
      </c>
      <c r="B124" s="35">
        <v>0.75419999999999998</v>
      </c>
    </row>
    <row r="125" spans="1:2">
      <c r="A125" s="47">
        <v>38838</v>
      </c>
      <c r="B125" s="34">
        <v>0.76359999999999995</v>
      </c>
    </row>
    <row r="126" spans="1:2">
      <c r="A126" s="47">
        <v>38869</v>
      </c>
      <c r="B126" s="35">
        <v>0.74329999999999996</v>
      </c>
    </row>
    <row r="127" spans="1:2">
      <c r="A127" s="47">
        <v>38899</v>
      </c>
      <c r="B127" s="34">
        <v>0.76580000000000004</v>
      </c>
    </row>
    <row r="128" spans="1:2">
      <c r="A128" s="47">
        <v>38930</v>
      </c>
      <c r="B128" s="35">
        <v>0.76270000000000004</v>
      </c>
    </row>
    <row r="129" spans="1:2">
      <c r="A129" s="47">
        <v>38961</v>
      </c>
      <c r="B129" s="34">
        <v>0.748</v>
      </c>
    </row>
    <row r="130" spans="1:2">
      <c r="A130" s="47">
        <v>38991</v>
      </c>
      <c r="B130" s="35">
        <v>0.76919999999999999</v>
      </c>
    </row>
    <row r="131" spans="1:2">
      <c r="A131" s="47">
        <v>39022</v>
      </c>
      <c r="B131" s="34">
        <v>0.78500000000000003</v>
      </c>
    </row>
    <row r="132" spans="1:2">
      <c r="A132" s="47">
        <v>39052</v>
      </c>
      <c r="B132" s="35">
        <v>0.7913</v>
      </c>
    </row>
    <row r="133" spans="1:2">
      <c r="A133" s="47">
        <v>39083</v>
      </c>
      <c r="B133" s="34">
        <v>0.77200000000000002</v>
      </c>
    </row>
    <row r="134" spans="1:2">
      <c r="A134" s="47">
        <v>39114</v>
      </c>
      <c r="B134" s="35">
        <v>0.78800000000000003</v>
      </c>
    </row>
    <row r="135" spans="1:2">
      <c r="A135" s="47">
        <v>39142</v>
      </c>
      <c r="B135" s="34">
        <v>0.80700000000000005</v>
      </c>
    </row>
    <row r="136" spans="1:2">
      <c r="A136" s="47">
        <v>39173</v>
      </c>
      <c r="B136" s="35">
        <v>0.82679999999999998</v>
      </c>
    </row>
    <row r="137" spans="1:2">
      <c r="A137" s="47">
        <v>39203</v>
      </c>
      <c r="B137" s="34">
        <v>0.82440000000000002</v>
      </c>
    </row>
    <row r="138" spans="1:2">
      <c r="A138" s="47">
        <v>39234</v>
      </c>
      <c r="B138" s="35">
        <v>0.84870000000000001</v>
      </c>
    </row>
    <row r="139" spans="1:2">
      <c r="A139" s="47">
        <v>39264</v>
      </c>
      <c r="B139" s="34">
        <v>0.85719999999999996</v>
      </c>
    </row>
    <row r="140" spans="1:2">
      <c r="A140" s="47">
        <v>39295</v>
      </c>
      <c r="B140" s="35">
        <v>0.82140000000000002</v>
      </c>
    </row>
    <row r="141" spans="1:2">
      <c r="A141" s="47">
        <v>39326</v>
      </c>
      <c r="B141" s="34">
        <v>0.88270000000000004</v>
      </c>
    </row>
    <row r="142" spans="1:2">
      <c r="A142" s="47">
        <v>39356</v>
      </c>
      <c r="B142" s="35">
        <v>0.92159999999999997</v>
      </c>
    </row>
    <row r="143" spans="1:2">
      <c r="A143" s="47">
        <v>39387</v>
      </c>
      <c r="B143" s="34">
        <v>0.88649999999999995</v>
      </c>
    </row>
    <row r="144" spans="1:2">
      <c r="A144" s="47">
        <v>39417</v>
      </c>
      <c r="B144" s="35">
        <v>0.88160000000000005</v>
      </c>
    </row>
    <row r="145" spans="1:2">
      <c r="A145" s="47">
        <v>39448</v>
      </c>
      <c r="B145" s="34">
        <v>0.88839999999999997</v>
      </c>
    </row>
    <row r="146" spans="1:2">
      <c r="A146" s="47">
        <v>39479</v>
      </c>
      <c r="B146" s="35">
        <v>0.9466</v>
      </c>
    </row>
    <row r="147" spans="1:2">
      <c r="A147" s="47">
        <v>39508</v>
      </c>
      <c r="B147" s="34">
        <v>0.91800000000000004</v>
      </c>
    </row>
    <row r="148" spans="1:2">
      <c r="A148" s="47">
        <v>39539</v>
      </c>
      <c r="B148" s="35">
        <v>0.93369999999999997</v>
      </c>
    </row>
    <row r="149" spans="1:2">
      <c r="A149" s="47">
        <v>39569</v>
      </c>
      <c r="B149" s="34">
        <v>0.95589999999999997</v>
      </c>
    </row>
    <row r="150" spans="1:2">
      <c r="A150" s="47">
        <v>39600</v>
      </c>
      <c r="B150" s="35">
        <v>0.96260000000000001</v>
      </c>
    </row>
    <row r="151" spans="1:2">
      <c r="A151" s="47">
        <v>39630</v>
      </c>
      <c r="B151" s="34">
        <v>0.94340000000000002</v>
      </c>
    </row>
    <row r="152" spans="1:2">
      <c r="A152" s="47">
        <v>39661</v>
      </c>
      <c r="B152" s="35">
        <v>0.8639</v>
      </c>
    </row>
    <row r="153" spans="1:2">
      <c r="A153" s="47">
        <v>39692</v>
      </c>
      <c r="B153" s="34">
        <v>0.79959999999999998</v>
      </c>
    </row>
    <row r="154" spans="1:2">
      <c r="A154" s="47">
        <v>39722</v>
      </c>
      <c r="B154" s="35">
        <v>0.68799999999999994</v>
      </c>
    </row>
    <row r="155" spans="1:2">
      <c r="A155" s="47">
        <v>39753</v>
      </c>
      <c r="B155" s="34">
        <v>0.65720000000000001</v>
      </c>
    </row>
    <row r="156" spans="1:2">
      <c r="A156" s="47">
        <v>39783</v>
      </c>
      <c r="B156" s="35">
        <v>0.69279999999999997</v>
      </c>
    </row>
    <row r="157" spans="1:2">
      <c r="A157" s="47">
        <v>39814</v>
      </c>
      <c r="B157" s="34">
        <v>0.64380000000000004</v>
      </c>
    </row>
    <row r="158" spans="1:2">
      <c r="A158" s="47">
        <v>39845</v>
      </c>
      <c r="B158" s="35">
        <v>0.64539999999999997</v>
      </c>
    </row>
    <row r="159" spans="1:2">
      <c r="A159" s="47">
        <v>39873</v>
      </c>
      <c r="B159" s="34">
        <v>0.68730000000000002</v>
      </c>
    </row>
    <row r="160" spans="1:2">
      <c r="A160" s="47">
        <v>39904</v>
      </c>
      <c r="B160" s="35">
        <v>0.72650000000000003</v>
      </c>
    </row>
    <row r="161" spans="1:2">
      <c r="A161" s="47">
        <v>39934</v>
      </c>
      <c r="B161" s="34">
        <v>0.79120000000000001</v>
      </c>
    </row>
    <row r="162" spans="1:2">
      <c r="A162" s="47">
        <v>39965</v>
      </c>
      <c r="B162" s="35">
        <v>0.81140000000000001</v>
      </c>
    </row>
    <row r="163" spans="1:2">
      <c r="A163" s="47">
        <v>39995</v>
      </c>
      <c r="B163" s="34">
        <v>0.82809999999999995</v>
      </c>
    </row>
    <row r="164" spans="1:2">
      <c r="A164" s="47">
        <v>40026</v>
      </c>
      <c r="B164" s="35">
        <v>0.83930000000000005</v>
      </c>
    </row>
    <row r="165" spans="1:2">
      <c r="A165" s="47">
        <v>40057</v>
      </c>
      <c r="B165" s="34">
        <v>0.88009999999999999</v>
      </c>
    </row>
    <row r="166" spans="1:2">
      <c r="A166" s="47">
        <v>40087</v>
      </c>
      <c r="B166" s="35">
        <v>0.91610000000000003</v>
      </c>
    </row>
    <row r="167" spans="1:2">
      <c r="A167" s="47">
        <v>40118</v>
      </c>
      <c r="B167" s="34">
        <v>0.91779999999999995</v>
      </c>
    </row>
    <row r="168" spans="1:2">
      <c r="A168" s="47">
        <v>40148</v>
      </c>
      <c r="B168" s="35">
        <v>0.89690000000000003</v>
      </c>
    </row>
    <row r="169" spans="1:2">
      <c r="A169" s="47">
        <v>40179</v>
      </c>
      <c r="B169" s="34">
        <v>0.89090000000000003</v>
      </c>
    </row>
    <row r="170" spans="1:2">
      <c r="A170" s="47">
        <v>40210</v>
      </c>
      <c r="B170" s="35">
        <v>0.88990000000000002</v>
      </c>
    </row>
    <row r="171" spans="1:2">
      <c r="A171" s="47">
        <v>40238</v>
      </c>
      <c r="B171" s="34">
        <v>0.91590000000000005</v>
      </c>
    </row>
    <row r="172" spans="1:2">
      <c r="A172" s="47">
        <v>40269</v>
      </c>
      <c r="B172" s="35">
        <v>0.93</v>
      </c>
    </row>
    <row r="173" spans="1:2">
      <c r="A173" s="47">
        <v>40299</v>
      </c>
      <c r="B173" s="34">
        <v>0.84899999999999998</v>
      </c>
    </row>
    <row r="174" spans="1:2">
      <c r="A174" s="47">
        <v>40330</v>
      </c>
      <c r="B174" s="35">
        <v>0.85229999999999995</v>
      </c>
    </row>
    <row r="175" spans="1:2">
      <c r="A175" s="47">
        <v>40360</v>
      </c>
      <c r="B175" s="34">
        <v>0.89859999999999995</v>
      </c>
    </row>
    <row r="176" spans="1:2">
      <c r="A176" s="47">
        <v>40391</v>
      </c>
      <c r="B176" s="35">
        <v>0.89180000000000004</v>
      </c>
    </row>
    <row r="177" spans="1:2">
      <c r="A177" s="47">
        <v>40422</v>
      </c>
      <c r="B177" s="34">
        <v>0.9667</v>
      </c>
    </row>
    <row r="178" spans="1:2">
      <c r="A178" s="47">
        <v>40452</v>
      </c>
      <c r="B178" s="35">
        <v>0.97609999999999997</v>
      </c>
    </row>
    <row r="179" spans="1:2">
      <c r="A179" s="47">
        <v>40483</v>
      </c>
      <c r="B179" s="34">
        <v>0.96179999999999999</v>
      </c>
    </row>
    <row r="180" spans="1:2">
      <c r="A180" s="47">
        <v>40513</v>
      </c>
      <c r="B180" s="35">
        <v>1.0163</v>
      </c>
    </row>
    <row r="181" spans="1:2">
      <c r="A181" s="47">
        <v>40544</v>
      </c>
      <c r="B181" s="34">
        <v>0.99239999999999995</v>
      </c>
    </row>
    <row r="182" spans="1:2">
      <c r="A182" s="47">
        <v>40575</v>
      </c>
      <c r="B182" s="35">
        <v>1.0163</v>
      </c>
    </row>
    <row r="183" spans="1:2">
      <c r="A183" s="47">
        <v>40603</v>
      </c>
      <c r="B183" s="34">
        <v>1.0334000000000001</v>
      </c>
    </row>
    <row r="184" spans="1:2">
      <c r="A184" s="47">
        <v>40634</v>
      </c>
      <c r="B184" s="35">
        <v>1.0900000000000001</v>
      </c>
    </row>
    <row r="185" spans="1:2">
      <c r="A185" s="47">
        <v>40664</v>
      </c>
      <c r="B185" s="34">
        <v>1.0709</v>
      </c>
    </row>
    <row r="186" spans="1:2">
      <c r="A186" s="47">
        <v>40695</v>
      </c>
      <c r="B186" s="35">
        <v>1.0739000000000001</v>
      </c>
    </row>
    <row r="187" spans="1:2">
      <c r="A187" s="47">
        <v>40725</v>
      </c>
      <c r="B187" s="34">
        <v>1.0953999999999999</v>
      </c>
    </row>
    <row r="188" spans="1:2">
      <c r="A188" s="47">
        <v>40756</v>
      </c>
      <c r="B188" s="35">
        <v>1.0690999999999999</v>
      </c>
    </row>
    <row r="189" spans="1:2">
      <c r="A189" s="47">
        <v>40787</v>
      </c>
      <c r="B189" s="34">
        <v>0.97809999999999997</v>
      </c>
    </row>
    <row r="190" spans="1:2">
      <c r="A190" s="47">
        <v>40817</v>
      </c>
      <c r="B190" s="35">
        <v>1.0508999999999999</v>
      </c>
    </row>
    <row r="191" spans="1:2">
      <c r="A191" s="47">
        <v>40848</v>
      </c>
      <c r="B191" s="34">
        <v>1.0021</v>
      </c>
    </row>
    <row r="192" spans="1:2">
      <c r="A192" s="47">
        <v>40878</v>
      </c>
      <c r="B192" s="35">
        <v>1.0156000000000001</v>
      </c>
    </row>
    <row r="193" spans="1:2">
      <c r="A193" s="47">
        <v>40909</v>
      </c>
      <c r="B193" s="34">
        <v>1.0637000000000001</v>
      </c>
    </row>
    <row r="194" spans="1:2">
      <c r="A194" s="47">
        <v>40940</v>
      </c>
      <c r="B194" s="35">
        <v>1.0815999999999999</v>
      </c>
    </row>
    <row r="195" spans="1:2">
      <c r="A195" s="47">
        <v>40969</v>
      </c>
      <c r="B195" s="34">
        <v>1.0402</v>
      </c>
    </row>
    <row r="196" spans="1:2">
      <c r="A196" s="47">
        <v>41000</v>
      </c>
      <c r="B196" s="35">
        <v>1.0452999999999999</v>
      </c>
    </row>
    <row r="197" spans="1:2">
      <c r="A197" s="47">
        <v>41030</v>
      </c>
      <c r="B197" s="34">
        <v>0.97270000000000001</v>
      </c>
    </row>
    <row r="198" spans="1:2">
      <c r="A198" s="47">
        <v>41061</v>
      </c>
      <c r="B198" s="35">
        <v>1.0190999999999999</v>
      </c>
    </row>
    <row r="199" spans="1:2">
      <c r="A199" s="47">
        <v>41091</v>
      </c>
      <c r="B199" s="34">
        <v>1.0526</v>
      </c>
    </row>
    <row r="200" spans="1:2">
      <c r="A200" s="47">
        <v>41122</v>
      </c>
      <c r="B200" s="35">
        <v>1.0301</v>
      </c>
    </row>
    <row r="201" spans="1:2">
      <c r="A201" s="47">
        <v>41153</v>
      </c>
      <c r="B201" s="34">
        <v>1.0464</v>
      </c>
    </row>
    <row r="202" spans="1:2">
      <c r="A202" s="47">
        <v>41183</v>
      </c>
      <c r="B202" s="35">
        <v>1.0378000000000001</v>
      </c>
    </row>
    <row r="203" spans="1:2">
      <c r="A203" s="47">
        <v>41214</v>
      </c>
      <c r="B203" s="34">
        <v>1.0430999999999999</v>
      </c>
    </row>
    <row r="204" spans="1:2">
      <c r="A204" s="47">
        <v>41244</v>
      </c>
      <c r="B204" s="35">
        <v>1.0384</v>
      </c>
    </row>
    <row r="205" spans="1:2">
      <c r="A205" s="47">
        <v>41275</v>
      </c>
      <c r="B205" s="34">
        <v>1.0394000000000001</v>
      </c>
    </row>
    <row r="206" spans="1:2">
      <c r="A206" s="47">
        <v>41306</v>
      </c>
      <c r="B206" s="35">
        <v>1.0275000000000001</v>
      </c>
    </row>
    <row r="207" spans="1:2">
      <c r="A207" s="47">
        <v>41334</v>
      </c>
      <c r="B207" s="34">
        <v>1.0426</v>
      </c>
    </row>
    <row r="208" spans="1:2">
      <c r="A208" s="47">
        <v>41365</v>
      </c>
      <c r="B208" s="35">
        <v>1.0367999999999999</v>
      </c>
    </row>
    <row r="209" spans="1:2">
      <c r="A209" s="47">
        <v>41395</v>
      </c>
      <c r="B209" s="34">
        <v>0.96489999999999998</v>
      </c>
    </row>
    <row r="210" spans="1:2">
      <c r="A210" s="47">
        <v>41426</v>
      </c>
      <c r="B210" s="35">
        <v>0.92749999999999999</v>
      </c>
    </row>
    <row r="211" spans="1:2">
      <c r="A211" s="47">
        <v>41456</v>
      </c>
      <c r="B211" s="34">
        <v>0.90369999999999995</v>
      </c>
    </row>
    <row r="212" spans="1:2">
      <c r="A212" s="47">
        <v>41487</v>
      </c>
      <c r="B212" s="35">
        <v>0.89470000000000005</v>
      </c>
    </row>
    <row r="213" spans="1:2">
      <c r="A213" s="47">
        <v>41518</v>
      </c>
      <c r="B213" s="34">
        <v>0.93089999999999995</v>
      </c>
    </row>
    <row r="214" spans="1:2">
      <c r="A214" s="47">
        <v>41548</v>
      </c>
      <c r="B214" s="35">
        <v>0.94899999999999995</v>
      </c>
    </row>
    <row r="215" spans="1:2">
      <c r="A215" s="47">
        <v>41579</v>
      </c>
      <c r="B215" s="34">
        <v>0.90869999999999995</v>
      </c>
    </row>
    <row r="216" spans="1:2">
      <c r="A216" s="47">
        <v>41609</v>
      </c>
      <c r="B216" s="35">
        <v>0.89480000000000004</v>
      </c>
    </row>
    <row r="217" spans="1:2">
      <c r="A217" s="47">
        <v>41640</v>
      </c>
      <c r="B217" s="34">
        <v>0.87629999999999997</v>
      </c>
    </row>
    <row r="218" spans="1:2">
      <c r="A218" s="47">
        <v>41671</v>
      </c>
      <c r="B218" s="35">
        <v>0.89470000000000005</v>
      </c>
    </row>
    <row r="219" spans="1:2">
      <c r="A219" s="47">
        <v>41699</v>
      </c>
      <c r="B219" s="34">
        <v>0.92210000000000003</v>
      </c>
    </row>
    <row r="220" spans="1:2">
      <c r="A220" s="47">
        <v>41730</v>
      </c>
      <c r="B220" s="35">
        <v>0.92869999999999997</v>
      </c>
    </row>
    <row r="221" spans="1:2">
      <c r="A221" s="47">
        <v>41760</v>
      </c>
      <c r="B221" s="34">
        <v>0.93189999999999995</v>
      </c>
    </row>
    <row r="222" spans="1:2">
      <c r="A222" s="47">
        <v>41791</v>
      </c>
      <c r="B222" s="35">
        <v>0.94199999999999995</v>
      </c>
    </row>
    <row r="223" spans="1:2">
      <c r="A223" s="47">
        <v>41821</v>
      </c>
      <c r="B223" s="34">
        <v>0.93889999999999996</v>
      </c>
    </row>
    <row r="224" spans="1:2">
      <c r="A224" s="47">
        <v>41852</v>
      </c>
      <c r="B224" s="35">
        <v>0.93089999999999995</v>
      </c>
    </row>
    <row r="225" spans="1:2">
      <c r="A225" s="47">
        <v>41883</v>
      </c>
      <c r="B225" s="34">
        <v>0.90490000000000004</v>
      </c>
    </row>
    <row r="226" spans="1:2">
      <c r="A226" s="47">
        <v>41913</v>
      </c>
      <c r="B226" s="35">
        <v>0.87780000000000002</v>
      </c>
    </row>
    <row r="227" spans="1:2">
      <c r="A227" s="47">
        <v>41944</v>
      </c>
      <c r="B227" s="34">
        <v>0.86399999999999999</v>
      </c>
    </row>
    <row r="228" spans="1:2">
      <c r="A228" s="47">
        <v>41974</v>
      </c>
      <c r="B228" s="35">
        <v>0.82340000000000002</v>
      </c>
    </row>
    <row r="229" spans="1:2">
      <c r="A229" s="47">
        <v>42005</v>
      </c>
      <c r="B229" s="34">
        <v>0.80600000000000005</v>
      </c>
    </row>
    <row r="230" spans="1:2">
      <c r="A230" s="47">
        <v>42036</v>
      </c>
      <c r="B230" s="35">
        <v>0.77929999999999999</v>
      </c>
    </row>
    <row r="231" spans="1:2">
      <c r="A231" s="47">
        <v>42064</v>
      </c>
      <c r="B231" s="34">
        <v>0.77300000000000002</v>
      </c>
    </row>
    <row r="232" spans="1:2">
      <c r="A232" s="47">
        <v>42095</v>
      </c>
      <c r="B232" s="35">
        <v>0.77349999999999997</v>
      </c>
    </row>
    <row r="233" spans="1:2">
      <c r="A233" s="47">
        <v>42125</v>
      </c>
      <c r="B233" s="34">
        <v>0.78859999999999997</v>
      </c>
    </row>
    <row r="234" spans="1:2">
      <c r="A234" s="47">
        <v>42156</v>
      </c>
      <c r="B234" s="35">
        <v>0.77229999999999999</v>
      </c>
    </row>
    <row r="235" spans="1:2">
      <c r="A235" s="47">
        <v>42186</v>
      </c>
      <c r="B235" s="34">
        <v>0.7409</v>
      </c>
    </row>
    <row r="236" spans="1:2">
      <c r="A236" s="47">
        <v>42217</v>
      </c>
      <c r="B236" s="35">
        <v>0.72960000000000003</v>
      </c>
    </row>
    <row r="237" spans="1:2">
      <c r="A237" s="47">
        <v>42248</v>
      </c>
      <c r="B237" s="34">
        <v>0.70550000000000002</v>
      </c>
    </row>
    <row r="238" spans="1:2">
      <c r="A238" s="47">
        <v>42278</v>
      </c>
      <c r="B238" s="35">
        <v>0.72060000000000002</v>
      </c>
    </row>
    <row r="239" spans="1:2">
      <c r="A239" s="47">
        <v>42309</v>
      </c>
      <c r="B239" s="34">
        <v>0.71499999999999997</v>
      </c>
    </row>
    <row r="240" spans="1:2">
      <c r="A240" s="47">
        <v>42339</v>
      </c>
      <c r="B240" s="35">
        <v>0.72519999999999996</v>
      </c>
    </row>
    <row r="241" spans="1:2">
      <c r="A241" s="47">
        <v>42370</v>
      </c>
      <c r="B241" s="34">
        <v>0.70150000000000001</v>
      </c>
    </row>
    <row r="242" spans="1:2">
      <c r="A242" s="47">
        <v>42401</v>
      </c>
      <c r="B242" s="35">
        <v>0.71399999999999997</v>
      </c>
    </row>
    <row r="243" spans="1:2">
      <c r="A243" s="47">
        <v>42430</v>
      </c>
      <c r="B243" s="34">
        <v>0.751</v>
      </c>
    </row>
    <row r="244" spans="1:2">
      <c r="A244" s="47">
        <v>42461</v>
      </c>
      <c r="B244" s="35">
        <v>0.76629999999999998</v>
      </c>
    </row>
    <row r="245" spans="1:2">
      <c r="A245" s="47">
        <v>42491</v>
      </c>
      <c r="B245" s="34">
        <v>0.73219999999999996</v>
      </c>
    </row>
    <row r="246" spans="1:2">
      <c r="A246" s="47">
        <v>42522</v>
      </c>
      <c r="B246" s="35">
        <v>0.74070000000000003</v>
      </c>
    </row>
    <row r="247" spans="1:2">
      <c r="A247" s="47">
        <v>42552</v>
      </c>
      <c r="B247" s="34">
        <v>0.753</v>
      </c>
    </row>
    <row r="248" spans="1:2">
      <c r="A248" s="47">
        <v>42583</v>
      </c>
      <c r="B248" s="35">
        <v>0.76229999999999998</v>
      </c>
    </row>
    <row r="249" spans="1:2">
      <c r="A249" s="47">
        <v>42614</v>
      </c>
      <c r="B249" s="34">
        <v>0.75919999999999999</v>
      </c>
    </row>
    <row r="250" spans="1:2">
      <c r="A250" s="47">
        <v>42644</v>
      </c>
      <c r="B250" s="35">
        <v>0.76160000000000005</v>
      </c>
    </row>
    <row r="251" spans="1:2">
      <c r="A251" s="47">
        <v>42675</v>
      </c>
      <c r="B251" s="34">
        <v>0.75290000000000001</v>
      </c>
    </row>
    <row r="252" spans="1:2" ht="15.75" thickBot="1">
      <c r="A252" s="48">
        <v>42705</v>
      </c>
      <c r="B252" s="36">
        <v>0.73350000000000004</v>
      </c>
    </row>
  </sheetData>
  <mergeCells count="2">
    <mergeCell ref="D5:E5"/>
    <mergeCell ref="D6:E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41"/>
  <sheetViews>
    <sheetView workbookViewId="0"/>
  </sheetViews>
  <sheetFormatPr defaultRowHeight="15"/>
  <cols>
    <col min="1" max="3" width="9.140625" style="428"/>
    <col min="4" max="5" width="15.140625" style="428" customWidth="1"/>
    <col min="6" max="16384" width="9.140625" style="428"/>
  </cols>
  <sheetData>
    <row r="5" spans="1:10">
      <c r="A5" s="149" t="s">
        <v>563</v>
      </c>
      <c r="B5" s="29"/>
      <c r="C5" s="30"/>
      <c r="D5" s="16" t="s">
        <v>563</v>
      </c>
      <c r="E5" s="16"/>
    </row>
    <row r="6" spans="1:10" ht="15.75" thickBot="1">
      <c r="A6" s="149" t="s">
        <v>30</v>
      </c>
      <c r="B6" s="149"/>
      <c r="C6" s="28"/>
      <c r="D6" s="15" t="s">
        <v>42</v>
      </c>
      <c r="E6" s="15"/>
      <c r="F6" s="43"/>
      <c r="H6" s="28"/>
      <c r="J6" s="28"/>
    </row>
    <row r="7" spans="1:10" ht="15.75" thickBot="1">
      <c r="A7" s="45" t="s">
        <v>37</v>
      </c>
      <c r="B7" s="46" t="s">
        <v>29</v>
      </c>
      <c r="D7" s="40" t="s">
        <v>40</v>
      </c>
      <c r="E7" s="41" t="s">
        <v>41</v>
      </c>
      <c r="F7" s="44"/>
    </row>
    <row r="8" spans="1:10">
      <c r="A8" s="47">
        <v>35612</v>
      </c>
      <c r="B8" s="315">
        <v>57.195650000000001</v>
      </c>
      <c r="D8" s="38">
        <f>LARGE(A$8:A$529,24)</f>
        <v>42005</v>
      </c>
      <c r="E8" s="418">
        <f t="shared" ref="E8:E31" si="0">SUMIF(A$8:A$529,D8,B$8:B$529)</f>
        <v>66.015000000000001</v>
      </c>
    </row>
    <row r="9" spans="1:10">
      <c r="A9" s="47">
        <v>35643</v>
      </c>
      <c r="B9" s="316">
        <v>58.433329999999998</v>
      </c>
      <c r="D9" s="39">
        <f>LARGE(A$8:A$529,23)</f>
        <v>42036</v>
      </c>
      <c r="E9" s="419">
        <f t="shared" si="0"/>
        <v>63.949999999999989</v>
      </c>
    </row>
    <row r="10" spans="1:10">
      <c r="A10" s="47">
        <v>35674</v>
      </c>
      <c r="B10" s="315">
        <v>57.722729999999999</v>
      </c>
      <c r="D10" s="38">
        <f>LARGE(A$8:A$529,22)</f>
        <v>42064</v>
      </c>
      <c r="E10" s="420">
        <f t="shared" si="0"/>
        <v>64.13181818181819</v>
      </c>
    </row>
    <row r="11" spans="1:10">
      <c r="A11" s="47">
        <v>35704</v>
      </c>
      <c r="B11" s="316">
        <v>58.143479999999997</v>
      </c>
      <c r="D11" s="39">
        <f>LARGE(A$8:A$529,21)</f>
        <v>42095</v>
      </c>
      <c r="E11" s="419">
        <f t="shared" si="0"/>
        <v>63.785000000000004</v>
      </c>
    </row>
    <row r="12" spans="1:10">
      <c r="A12" s="47">
        <v>35735</v>
      </c>
      <c r="B12" s="315">
        <v>57.034999999999997</v>
      </c>
      <c r="D12" s="38">
        <f>LARGE(A$8:A$529,20)</f>
        <v>42125</v>
      </c>
      <c r="E12" s="420">
        <f t="shared" si="0"/>
        <v>65.033333333333331</v>
      </c>
    </row>
    <row r="13" spans="1:10">
      <c r="A13" s="47">
        <v>35765</v>
      </c>
      <c r="B13" s="316">
        <v>57.890479999999997</v>
      </c>
      <c r="D13" s="39">
        <f>LARGE(A$8:A$529,19)</f>
        <v>42156</v>
      </c>
      <c r="E13" s="419">
        <f t="shared" si="0"/>
        <v>64.104761904761901</v>
      </c>
    </row>
    <row r="14" spans="1:10">
      <c r="A14" s="47">
        <v>35796</v>
      </c>
      <c r="B14" s="315">
        <v>60.215000000000003</v>
      </c>
      <c r="D14" s="38">
        <f>LARGE(A$8:A$529,18)</f>
        <v>42186</v>
      </c>
      <c r="E14" s="420">
        <f t="shared" si="0"/>
        <v>62.121739130434797</v>
      </c>
    </row>
    <row r="15" spans="1:10">
      <c r="A15" s="47">
        <v>35827</v>
      </c>
      <c r="B15" s="316">
        <v>60.77</v>
      </c>
      <c r="D15" s="39">
        <f>LARGE(A$8:A$529,17)</f>
        <v>42217</v>
      </c>
      <c r="E15" s="419">
        <f t="shared" si="0"/>
        <v>61.975000000000001</v>
      </c>
    </row>
    <row r="16" spans="1:10">
      <c r="A16" s="47">
        <v>35855</v>
      </c>
      <c r="B16" s="315">
        <v>60.236359999999998</v>
      </c>
      <c r="D16" s="38">
        <f>LARGE(A$8:A$529,16)</f>
        <v>42248</v>
      </c>
      <c r="E16" s="420">
        <f t="shared" si="0"/>
        <v>60.204545454545453</v>
      </c>
    </row>
    <row r="17" spans="1:7">
      <c r="A17" s="47">
        <v>35886</v>
      </c>
      <c r="B17" s="316">
        <v>58.454999999999998</v>
      </c>
      <c r="D17" s="39">
        <f>LARGE(A$8:A$529,15)</f>
        <v>42278</v>
      </c>
      <c r="E17" s="419">
        <f t="shared" si="0"/>
        <v>61.042857142857137</v>
      </c>
    </row>
    <row r="18" spans="1:7">
      <c r="A18" s="47">
        <v>35916</v>
      </c>
      <c r="B18" s="315">
        <v>57.4</v>
      </c>
      <c r="D18" s="38">
        <f>LARGE(A$8:A$529,14)</f>
        <v>42309</v>
      </c>
      <c r="E18" s="420">
        <f t="shared" si="0"/>
        <v>61.25238095238096</v>
      </c>
    </row>
    <row r="19" spans="1:7">
      <c r="A19" s="47">
        <v>35947</v>
      </c>
      <c r="B19" s="316">
        <v>56.571429999999999</v>
      </c>
      <c r="D19" s="39">
        <f>LARGE(A$8:A$529,13)</f>
        <v>42339</v>
      </c>
      <c r="E19" s="419">
        <f t="shared" si="0"/>
        <v>62.24285714285714</v>
      </c>
    </row>
    <row r="20" spans="1:7">
      <c r="A20" s="47">
        <v>35977</v>
      </c>
      <c r="B20" s="315">
        <v>58.004350000000002</v>
      </c>
      <c r="D20" s="38">
        <f>LARGE(A$8:A$529,12)</f>
        <v>42370</v>
      </c>
      <c r="E20" s="421">
        <f t="shared" si="0"/>
        <v>60.752631578947366</v>
      </c>
    </row>
    <row r="21" spans="1:7">
      <c r="A21" s="47">
        <v>36008</v>
      </c>
      <c r="B21" s="316">
        <v>55.733330000000002</v>
      </c>
      <c r="D21" s="39">
        <f>LARGE(A$8:A$529,11)</f>
        <v>42401</v>
      </c>
      <c r="E21" s="422">
        <f t="shared" si="0"/>
        <v>61.157142857142865</v>
      </c>
    </row>
    <row r="22" spans="1:7">
      <c r="A22" s="47">
        <v>36039</v>
      </c>
      <c r="B22" s="315">
        <v>54.172730000000001</v>
      </c>
      <c r="D22" s="38">
        <f>LARGE(A$8:A$529,10)</f>
        <v>42430</v>
      </c>
      <c r="E22" s="421">
        <f t="shared" si="0"/>
        <v>63.561904761904771</v>
      </c>
    </row>
    <row r="23" spans="1:7">
      <c r="A23" s="47">
        <v>36069</v>
      </c>
      <c r="B23" s="316">
        <v>54.386360000000003</v>
      </c>
      <c r="D23" s="39">
        <f>LARGE(A$8:A$529,9)</f>
        <v>42461</v>
      </c>
      <c r="E23" s="422">
        <f t="shared" si="0"/>
        <v>64.214999999999989</v>
      </c>
    </row>
    <row r="24" spans="1:7">
      <c r="A24" s="47">
        <v>36100</v>
      </c>
      <c r="B24" s="315">
        <v>55.485709999999997</v>
      </c>
      <c r="D24" s="38">
        <f>LARGE(A$8:A$529,8)</f>
        <v>42491</v>
      </c>
      <c r="E24" s="421">
        <f t="shared" si="0"/>
        <v>61.75454545454545</v>
      </c>
    </row>
    <row r="25" spans="1:7">
      <c r="A25" s="47">
        <v>36130</v>
      </c>
      <c r="B25" s="316">
        <v>53.657139999999998</v>
      </c>
      <c r="D25" s="39">
        <f>LARGE(A$8:A$529,7)</f>
        <v>42522</v>
      </c>
      <c r="E25" s="422">
        <f t="shared" si="0"/>
        <v>62.261904761904759</v>
      </c>
    </row>
    <row r="26" spans="1:7">
      <c r="A26" s="47">
        <v>36161</v>
      </c>
      <c r="B26" s="315">
        <v>54.5</v>
      </c>
      <c r="D26" s="38">
        <f>LARGE(A$8:A$529,6)</f>
        <v>42552</v>
      </c>
      <c r="E26" s="421">
        <f t="shared" si="0"/>
        <v>63.538095238095238</v>
      </c>
    </row>
    <row r="27" spans="1:7">
      <c r="A27" s="47">
        <v>36192</v>
      </c>
      <c r="B27" s="316">
        <v>56</v>
      </c>
      <c r="D27" s="39">
        <f>LARGE(A$8:A$529,5)</f>
        <v>42583</v>
      </c>
      <c r="E27" s="422">
        <f t="shared" si="0"/>
        <v>63.859090909090902</v>
      </c>
    </row>
    <row r="28" spans="1:7">
      <c r="A28" s="47">
        <v>36220</v>
      </c>
      <c r="B28" s="315">
        <v>56</v>
      </c>
      <c r="D28" s="38">
        <f>LARGE(A$8:A$529,4)</f>
        <v>42614</v>
      </c>
      <c r="E28" s="421">
        <f t="shared" si="0"/>
        <v>63.704545454545453</v>
      </c>
      <c r="G28" s="49" t="s">
        <v>47</v>
      </c>
    </row>
    <row r="29" spans="1:7">
      <c r="A29" s="47">
        <v>36251</v>
      </c>
      <c r="B29" s="316">
        <v>57</v>
      </c>
      <c r="D29" s="39">
        <f>LARGE(A$8:A$529,3)</f>
        <v>42644</v>
      </c>
      <c r="E29" s="422">
        <f t="shared" si="0"/>
        <v>64.67</v>
      </c>
      <c r="G29" s="27"/>
    </row>
    <row r="30" spans="1:7">
      <c r="A30" s="47">
        <v>36281</v>
      </c>
      <c r="B30" s="315">
        <v>58.8</v>
      </c>
      <c r="D30" s="38">
        <f>LARGE(A$8:A$529,2)</f>
        <v>42675</v>
      </c>
      <c r="E30" s="421">
        <f t="shared" si="0"/>
        <v>65.031818181818167</v>
      </c>
    </row>
    <row r="31" spans="1:7" ht="15.75" thickBot="1">
      <c r="A31" s="47">
        <v>36312</v>
      </c>
      <c r="B31" s="316">
        <v>58.3</v>
      </c>
      <c r="D31" s="42">
        <f>LARGE(A$8:A$529,1)</f>
        <v>42705</v>
      </c>
      <c r="E31" s="423">
        <f t="shared" si="0"/>
        <v>64.664999999999992</v>
      </c>
    </row>
    <row r="32" spans="1:7">
      <c r="A32" s="47">
        <v>36342</v>
      </c>
      <c r="B32" s="315">
        <v>58.3</v>
      </c>
    </row>
    <row r="33" spans="1:2">
      <c r="A33" s="47">
        <v>36373</v>
      </c>
      <c r="B33" s="316">
        <v>56.6</v>
      </c>
    </row>
    <row r="34" spans="1:2">
      <c r="A34" s="47">
        <v>36404</v>
      </c>
      <c r="B34" s="315">
        <v>56.7</v>
      </c>
    </row>
    <row r="35" spans="1:2">
      <c r="A35" s="47">
        <v>36434</v>
      </c>
      <c r="B35" s="316">
        <v>56.4</v>
      </c>
    </row>
    <row r="36" spans="1:2">
      <c r="A36" s="47">
        <v>36465</v>
      </c>
      <c r="B36" s="315">
        <v>55.4</v>
      </c>
    </row>
    <row r="37" spans="1:2">
      <c r="A37" s="47">
        <v>36495</v>
      </c>
      <c r="B37" s="316">
        <v>55.4</v>
      </c>
    </row>
    <row r="38" spans="1:2">
      <c r="A38" s="47">
        <v>36526</v>
      </c>
      <c r="B38" s="315">
        <v>57</v>
      </c>
    </row>
    <row r="39" spans="1:2">
      <c r="A39" s="47">
        <v>36557</v>
      </c>
      <c r="B39" s="316">
        <v>55.5</v>
      </c>
    </row>
    <row r="40" spans="1:2">
      <c r="A40" s="47">
        <v>36586</v>
      </c>
      <c r="B40" s="315">
        <v>53.7</v>
      </c>
    </row>
    <row r="41" spans="1:2">
      <c r="A41" s="47">
        <v>36617</v>
      </c>
      <c r="B41" s="316">
        <v>52.6</v>
      </c>
    </row>
    <row r="42" spans="1:2">
      <c r="A42" s="47">
        <v>36647</v>
      </c>
      <c r="B42" s="315">
        <v>52</v>
      </c>
    </row>
    <row r="43" spans="1:2">
      <c r="A43" s="47">
        <v>36678</v>
      </c>
      <c r="B43" s="316">
        <v>52.9</v>
      </c>
    </row>
    <row r="44" spans="1:2">
      <c r="A44" s="47">
        <v>36708</v>
      </c>
      <c r="B44" s="315">
        <v>52.9</v>
      </c>
    </row>
    <row r="45" spans="1:2">
      <c r="A45" s="47">
        <v>36739</v>
      </c>
      <c r="B45" s="316">
        <v>52.6</v>
      </c>
    </row>
    <row r="46" spans="1:2">
      <c r="A46" s="47">
        <v>36770</v>
      </c>
      <c r="B46" s="315">
        <v>50.8</v>
      </c>
    </row>
    <row r="47" spans="1:2">
      <c r="A47" s="47">
        <v>36800</v>
      </c>
      <c r="B47" s="316">
        <v>49</v>
      </c>
    </row>
    <row r="48" spans="1:2">
      <c r="A48" s="47">
        <v>36831</v>
      </c>
      <c r="B48" s="315">
        <v>48.8</v>
      </c>
    </row>
    <row r="49" spans="1:2">
      <c r="A49" s="47">
        <v>36861</v>
      </c>
      <c r="B49" s="316">
        <v>50.9</v>
      </c>
    </row>
    <row r="50" spans="1:2">
      <c r="A50" s="47">
        <v>36892</v>
      </c>
      <c r="B50" s="315">
        <v>51.9</v>
      </c>
    </row>
    <row r="51" spans="1:2">
      <c r="A51" s="47">
        <v>36923</v>
      </c>
      <c r="B51" s="316">
        <v>50.1</v>
      </c>
    </row>
    <row r="52" spans="1:2">
      <c r="A52" s="47">
        <v>36951</v>
      </c>
      <c r="B52" s="315">
        <v>48.1</v>
      </c>
    </row>
    <row r="53" spans="1:2">
      <c r="A53" s="47">
        <v>36982</v>
      </c>
      <c r="B53" s="316">
        <v>48.4</v>
      </c>
    </row>
    <row r="54" spans="1:2">
      <c r="A54" s="47">
        <v>37012</v>
      </c>
      <c r="B54" s="315">
        <v>50.1</v>
      </c>
    </row>
    <row r="55" spans="1:2">
      <c r="A55" s="47">
        <v>37043</v>
      </c>
      <c r="B55" s="316">
        <v>50.3</v>
      </c>
    </row>
    <row r="56" spans="1:2">
      <c r="A56" s="47">
        <v>37073</v>
      </c>
      <c r="B56" s="315">
        <v>49.8</v>
      </c>
    </row>
    <row r="57" spans="1:2">
      <c r="A57" s="47">
        <v>37104</v>
      </c>
      <c r="B57" s="316">
        <v>50</v>
      </c>
    </row>
    <row r="58" spans="1:2">
      <c r="A58" s="47">
        <v>37135</v>
      </c>
      <c r="B58" s="315">
        <v>48.1</v>
      </c>
    </row>
    <row r="59" spans="1:2">
      <c r="A59" s="47">
        <v>37165</v>
      </c>
      <c r="B59" s="316">
        <v>48.6</v>
      </c>
    </row>
    <row r="60" spans="1:2">
      <c r="A60" s="47">
        <v>37196</v>
      </c>
      <c r="B60" s="315">
        <v>50</v>
      </c>
    </row>
    <row r="61" spans="1:2">
      <c r="A61" s="47">
        <v>37226</v>
      </c>
      <c r="B61" s="316">
        <v>50.1</v>
      </c>
    </row>
    <row r="62" spans="1:2">
      <c r="A62" s="47">
        <v>37257</v>
      </c>
      <c r="B62" s="315">
        <v>50.9</v>
      </c>
    </row>
    <row r="63" spans="1:2">
      <c r="A63" s="47">
        <v>37288</v>
      </c>
      <c r="B63" s="316">
        <v>50.7</v>
      </c>
    </row>
    <row r="64" spans="1:2">
      <c r="A64" s="47">
        <v>37316</v>
      </c>
      <c r="B64" s="315">
        <v>51.4</v>
      </c>
    </row>
    <row r="65" spans="1:2">
      <c r="A65" s="47">
        <v>37347</v>
      </c>
      <c r="B65" s="316">
        <v>52.3</v>
      </c>
    </row>
    <row r="66" spans="1:2">
      <c r="A66" s="47">
        <v>37377</v>
      </c>
      <c r="B66" s="315">
        <v>52.6</v>
      </c>
    </row>
    <row r="67" spans="1:2">
      <c r="A67" s="47">
        <v>37408</v>
      </c>
      <c r="B67" s="316">
        <v>53.4</v>
      </c>
    </row>
    <row r="68" spans="1:2">
      <c r="A68" s="47">
        <v>37438</v>
      </c>
      <c r="B68" s="315">
        <v>51.2</v>
      </c>
    </row>
    <row r="69" spans="1:2">
      <c r="A69" s="47">
        <v>37469</v>
      </c>
      <c r="B69" s="316">
        <v>50.5</v>
      </c>
    </row>
    <row r="70" spans="1:2">
      <c r="A70" s="47">
        <v>37500</v>
      </c>
      <c r="B70" s="315">
        <v>51.1</v>
      </c>
    </row>
    <row r="71" spans="1:2">
      <c r="A71" s="47">
        <v>37530</v>
      </c>
      <c r="B71" s="316">
        <v>51.7</v>
      </c>
    </row>
    <row r="72" spans="1:2">
      <c r="A72" s="47">
        <v>37561</v>
      </c>
      <c r="B72" s="315">
        <v>52.2</v>
      </c>
    </row>
    <row r="73" spans="1:2">
      <c r="A73" s="47">
        <v>37591</v>
      </c>
      <c r="B73" s="316">
        <v>52.1</v>
      </c>
    </row>
    <row r="74" spans="1:2">
      <c r="A74" s="47">
        <v>37622</v>
      </c>
      <c r="B74" s="315">
        <v>52.91</v>
      </c>
    </row>
    <row r="75" spans="1:2">
      <c r="A75" s="47">
        <v>37653</v>
      </c>
      <c r="B75" s="316">
        <v>53.88</v>
      </c>
    </row>
    <row r="76" spans="1:2">
      <c r="A76" s="47">
        <v>37681</v>
      </c>
      <c r="B76" s="315">
        <v>54.59</v>
      </c>
    </row>
    <row r="77" spans="1:2">
      <c r="A77" s="47">
        <v>37712</v>
      </c>
      <c r="B77" s="316">
        <v>55.26</v>
      </c>
    </row>
    <row r="78" spans="1:2">
      <c r="A78" s="47">
        <v>37742</v>
      </c>
      <c r="B78" s="315">
        <v>57.45</v>
      </c>
    </row>
    <row r="79" spans="1:2">
      <c r="A79" s="47">
        <v>37773</v>
      </c>
      <c r="B79" s="316">
        <v>58.78</v>
      </c>
    </row>
    <row r="80" spans="1:2">
      <c r="A80" s="47">
        <v>37803</v>
      </c>
      <c r="B80" s="315">
        <v>58.85</v>
      </c>
    </row>
    <row r="81" spans="1:2">
      <c r="A81" s="47">
        <v>37834</v>
      </c>
      <c r="B81" s="316">
        <v>58.16</v>
      </c>
    </row>
    <row r="82" spans="1:2">
      <c r="A82" s="47">
        <v>37865</v>
      </c>
      <c r="B82" s="315">
        <v>58.47</v>
      </c>
    </row>
    <row r="83" spans="1:2">
      <c r="A83" s="47">
        <v>37895</v>
      </c>
      <c r="B83" s="316">
        <v>60.12</v>
      </c>
    </row>
    <row r="84" spans="1:2">
      <c r="A84" s="47">
        <v>37926</v>
      </c>
      <c r="B84" s="315">
        <v>61.89</v>
      </c>
    </row>
    <row r="85" spans="1:2">
      <c r="A85" s="47">
        <v>37956</v>
      </c>
      <c r="B85" s="316">
        <v>62.97</v>
      </c>
    </row>
    <row r="86" spans="1:2">
      <c r="A86" s="47">
        <v>37987</v>
      </c>
      <c r="B86" s="315">
        <v>64.819999999999993</v>
      </c>
    </row>
    <row r="87" spans="1:2">
      <c r="A87" s="47">
        <v>38018</v>
      </c>
      <c r="B87" s="316">
        <v>65.209999999999994</v>
      </c>
    </row>
    <row r="88" spans="1:2">
      <c r="A88" s="47">
        <v>38047</v>
      </c>
      <c r="B88" s="315">
        <v>63.65</v>
      </c>
    </row>
    <row r="89" spans="1:2">
      <c r="A89" s="47">
        <v>38078</v>
      </c>
      <c r="B89" s="316">
        <v>63.31</v>
      </c>
    </row>
    <row r="90" spans="1:2">
      <c r="A90" s="47">
        <v>38108</v>
      </c>
      <c r="B90" s="315">
        <v>60.95</v>
      </c>
    </row>
    <row r="91" spans="1:2">
      <c r="A91" s="47">
        <v>38139</v>
      </c>
      <c r="B91" s="316">
        <v>59.49</v>
      </c>
    </row>
    <row r="92" spans="1:2">
      <c r="A92" s="47">
        <v>38169</v>
      </c>
      <c r="B92" s="315">
        <v>61.05</v>
      </c>
    </row>
    <row r="93" spans="1:2">
      <c r="A93" s="47">
        <v>38200</v>
      </c>
      <c r="B93" s="316">
        <v>60.82</v>
      </c>
    </row>
    <row r="94" spans="1:2">
      <c r="A94" s="47">
        <v>38231</v>
      </c>
      <c r="B94" s="315">
        <v>59.94</v>
      </c>
    </row>
    <row r="95" spans="1:2">
      <c r="A95" s="47">
        <v>38261</v>
      </c>
      <c r="B95" s="316">
        <v>62.03</v>
      </c>
    </row>
    <row r="96" spans="1:2">
      <c r="A96" s="47">
        <v>38292</v>
      </c>
      <c r="B96" s="315">
        <v>63.67</v>
      </c>
    </row>
    <row r="97" spans="1:2">
      <c r="A97" s="47">
        <v>38322</v>
      </c>
      <c r="B97" s="316">
        <v>62.74</v>
      </c>
    </row>
    <row r="98" spans="1:2">
      <c r="A98" s="47">
        <v>38353</v>
      </c>
      <c r="B98" s="315">
        <v>62.69</v>
      </c>
    </row>
    <row r="99" spans="1:2">
      <c r="A99" s="47">
        <v>38384</v>
      </c>
      <c r="B99" s="316">
        <v>64.099999999999994</v>
      </c>
    </row>
    <row r="100" spans="1:2">
      <c r="A100" s="47">
        <v>38412</v>
      </c>
      <c r="B100" s="315">
        <v>64.19</v>
      </c>
    </row>
    <row r="101" spans="1:2">
      <c r="A101" s="47">
        <v>38443</v>
      </c>
      <c r="B101" s="316">
        <v>63.78</v>
      </c>
    </row>
    <row r="102" spans="1:2">
      <c r="A102" s="47">
        <v>38473</v>
      </c>
      <c r="B102" s="315">
        <v>63.39</v>
      </c>
    </row>
    <row r="103" spans="1:2">
      <c r="A103" s="47">
        <v>38504</v>
      </c>
      <c r="B103" s="316">
        <v>64.36</v>
      </c>
    </row>
    <row r="104" spans="1:2">
      <c r="A104" s="47">
        <v>38534</v>
      </c>
      <c r="B104" s="315">
        <v>64</v>
      </c>
    </row>
    <row r="105" spans="1:2">
      <c r="A105" s="47">
        <v>38565</v>
      </c>
      <c r="B105" s="316">
        <v>64.040000000000006</v>
      </c>
    </row>
    <row r="106" spans="1:2">
      <c r="A106" s="47">
        <v>38596</v>
      </c>
      <c r="B106" s="315">
        <v>64.510000000000005</v>
      </c>
    </row>
    <row r="107" spans="1:2">
      <c r="A107" s="47">
        <v>38626</v>
      </c>
      <c r="B107" s="316">
        <v>64.3</v>
      </c>
    </row>
    <row r="108" spans="1:2">
      <c r="A108" s="47">
        <v>38657</v>
      </c>
      <c r="B108" s="315">
        <v>63.35</v>
      </c>
    </row>
    <row r="109" spans="1:2">
      <c r="A109" s="47">
        <v>38687</v>
      </c>
      <c r="B109" s="316">
        <v>63.72</v>
      </c>
    </row>
    <row r="110" spans="1:2">
      <c r="A110" s="47">
        <v>38718</v>
      </c>
      <c r="B110" s="315">
        <v>63.27</v>
      </c>
    </row>
    <row r="111" spans="1:2">
      <c r="A111" s="47">
        <v>38749</v>
      </c>
      <c r="B111" s="316">
        <v>62.88</v>
      </c>
    </row>
    <row r="112" spans="1:2">
      <c r="A112" s="47">
        <v>38777</v>
      </c>
      <c r="B112" s="315">
        <v>61.8</v>
      </c>
    </row>
    <row r="113" spans="1:2">
      <c r="A113" s="47">
        <v>38808</v>
      </c>
      <c r="B113" s="316">
        <v>62.01</v>
      </c>
    </row>
    <row r="114" spans="1:2">
      <c r="A114" s="47">
        <v>38838</v>
      </c>
      <c r="B114" s="315">
        <v>63.2</v>
      </c>
    </row>
    <row r="115" spans="1:2">
      <c r="A115" s="47">
        <v>38869</v>
      </c>
      <c r="B115" s="316">
        <v>62.02</v>
      </c>
    </row>
    <row r="116" spans="1:2">
      <c r="A116" s="47">
        <v>38899</v>
      </c>
      <c r="B116" s="315">
        <v>63</v>
      </c>
    </row>
    <row r="117" spans="1:2">
      <c r="A117" s="47">
        <v>38930</v>
      </c>
      <c r="B117" s="316">
        <v>63.72</v>
      </c>
    </row>
    <row r="118" spans="1:2">
      <c r="A118" s="47">
        <v>38961</v>
      </c>
      <c r="B118" s="315">
        <v>63.19</v>
      </c>
    </row>
    <row r="119" spans="1:2">
      <c r="A119" s="47">
        <v>38991</v>
      </c>
      <c r="B119" s="316">
        <v>63.16</v>
      </c>
    </row>
    <row r="120" spans="1:2">
      <c r="A120" s="47">
        <v>39022</v>
      </c>
      <c r="B120" s="315">
        <v>63.95</v>
      </c>
    </row>
    <row r="121" spans="1:2">
      <c r="A121" s="47">
        <v>39052</v>
      </c>
      <c r="B121" s="316">
        <v>64.400000000000006</v>
      </c>
    </row>
    <row r="122" spans="1:2">
      <c r="A122" s="47">
        <v>39083</v>
      </c>
      <c r="B122" s="315">
        <v>64.680000000000007</v>
      </c>
    </row>
    <row r="123" spans="1:2">
      <c r="A123" s="47">
        <v>39114</v>
      </c>
      <c r="B123" s="316">
        <v>64.44</v>
      </c>
    </row>
    <row r="124" spans="1:2">
      <c r="A124" s="47">
        <v>39142</v>
      </c>
      <c r="B124" s="315">
        <v>64.83</v>
      </c>
    </row>
    <row r="125" spans="1:2">
      <c r="A125" s="47">
        <v>39173</v>
      </c>
      <c r="B125" s="316">
        <v>67.12</v>
      </c>
    </row>
    <row r="126" spans="1:2">
      <c r="A126" s="47">
        <v>39203</v>
      </c>
      <c r="B126" s="315">
        <v>66.959999999999994</v>
      </c>
    </row>
    <row r="127" spans="1:2">
      <c r="A127" s="47">
        <v>39234</v>
      </c>
      <c r="B127" s="316">
        <v>68.489999999999995</v>
      </c>
    </row>
    <row r="128" spans="1:2">
      <c r="A128" s="47">
        <v>39264</v>
      </c>
      <c r="B128" s="315">
        <v>69.75</v>
      </c>
    </row>
    <row r="129" spans="1:2">
      <c r="A129" s="47">
        <v>39295</v>
      </c>
      <c r="B129" s="316">
        <v>66.78</v>
      </c>
    </row>
    <row r="130" spans="1:2">
      <c r="A130" s="47">
        <v>39326</v>
      </c>
      <c r="B130" s="315">
        <v>67.69</v>
      </c>
    </row>
    <row r="131" spans="1:2">
      <c r="A131" s="47">
        <v>39356</v>
      </c>
      <c r="B131" s="316">
        <v>70.98</v>
      </c>
    </row>
    <row r="132" spans="1:2">
      <c r="A132" s="47">
        <v>39387</v>
      </c>
      <c r="B132" s="315">
        <v>69.97</v>
      </c>
    </row>
    <row r="133" spans="1:2">
      <c r="A133" s="47">
        <v>39417</v>
      </c>
      <c r="B133" s="316">
        <v>68.209999999999994</v>
      </c>
    </row>
    <row r="134" spans="1:2">
      <c r="A134" s="47">
        <v>39448</v>
      </c>
      <c r="B134" s="315">
        <v>68.239999999999995</v>
      </c>
    </row>
    <row r="135" spans="1:2">
      <c r="A135" s="47">
        <v>39479</v>
      </c>
      <c r="B135" s="316">
        <v>70.2</v>
      </c>
    </row>
    <row r="136" spans="1:2">
      <c r="A136" s="47">
        <v>39508</v>
      </c>
      <c r="B136" s="315">
        <v>69.78</v>
      </c>
    </row>
    <row r="137" spans="1:2">
      <c r="A137" s="47">
        <v>39539</v>
      </c>
      <c r="B137" s="316">
        <v>70</v>
      </c>
    </row>
    <row r="138" spans="1:2">
      <c r="A138" s="47">
        <v>39569</v>
      </c>
      <c r="B138" s="315">
        <v>72.23</v>
      </c>
    </row>
    <row r="139" spans="1:2">
      <c r="A139" s="47">
        <v>39600</v>
      </c>
      <c r="B139" s="316">
        <v>72.81</v>
      </c>
    </row>
    <row r="140" spans="1:2">
      <c r="A140" s="47">
        <v>39630</v>
      </c>
      <c r="B140" s="315">
        <v>73.319999999999993</v>
      </c>
    </row>
    <row r="141" spans="1:2">
      <c r="A141" s="47">
        <v>39661</v>
      </c>
      <c r="B141" s="316">
        <v>68.599999999999994</v>
      </c>
    </row>
    <row r="142" spans="1:2">
      <c r="A142" s="47">
        <v>39692</v>
      </c>
      <c r="B142" s="315">
        <v>64.930000000000007</v>
      </c>
    </row>
    <row r="143" spans="1:2">
      <c r="A143" s="47">
        <v>39722</v>
      </c>
      <c r="B143" s="316">
        <v>56.06</v>
      </c>
    </row>
    <row r="144" spans="1:2">
      <c r="A144" s="47">
        <v>39753</v>
      </c>
      <c r="B144" s="315">
        <v>54.43</v>
      </c>
    </row>
    <row r="145" spans="1:2">
      <c r="A145" s="47">
        <v>39783</v>
      </c>
      <c r="B145" s="316">
        <v>54.6</v>
      </c>
    </row>
    <row r="146" spans="1:2">
      <c r="A146" s="47">
        <v>39814</v>
      </c>
      <c r="B146" s="315">
        <v>55.43</v>
      </c>
    </row>
    <row r="147" spans="1:2">
      <c r="A147" s="47">
        <v>39845</v>
      </c>
      <c r="B147" s="316">
        <v>54.16</v>
      </c>
    </row>
    <row r="148" spans="1:2">
      <c r="A148" s="47">
        <v>39873</v>
      </c>
      <c r="B148" s="315">
        <v>56</v>
      </c>
    </row>
    <row r="149" spans="1:2">
      <c r="A149" s="47">
        <v>39904</v>
      </c>
      <c r="B149" s="316">
        <v>59.06</v>
      </c>
    </row>
    <row r="150" spans="1:2">
      <c r="A150" s="47">
        <v>39934</v>
      </c>
      <c r="B150" s="315">
        <v>61.74</v>
      </c>
    </row>
    <row r="151" spans="1:2">
      <c r="A151" s="47">
        <v>39965</v>
      </c>
      <c r="B151" s="316">
        <v>64.150000000000006</v>
      </c>
    </row>
    <row r="152" spans="1:2">
      <c r="A152" s="47">
        <v>39995</v>
      </c>
      <c r="B152" s="315">
        <v>64.03</v>
      </c>
    </row>
    <row r="153" spans="1:2">
      <c r="A153" s="47">
        <v>40026</v>
      </c>
      <c r="B153" s="316">
        <v>66.03</v>
      </c>
    </row>
    <row r="154" spans="1:2">
      <c r="A154" s="47">
        <v>40057</v>
      </c>
      <c r="B154" s="315">
        <v>67.239999999999995</v>
      </c>
    </row>
    <row r="155" spans="1:2">
      <c r="A155" s="47">
        <v>40087</v>
      </c>
      <c r="B155" s="316">
        <v>70.040000000000006</v>
      </c>
    </row>
    <row r="156" spans="1:2">
      <c r="A156" s="47">
        <v>40118</v>
      </c>
      <c r="B156" s="315">
        <v>70.56</v>
      </c>
    </row>
    <row r="157" spans="1:2">
      <c r="A157" s="47">
        <v>40148</v>
      </c>
      <c r="B157" s="316">
        <v>69.650000000000006</v>
      </c>
    </row>
    <row r="158" spans="1:2">
      <c r="A158" s="47">
        <v>40179</v>
      </c>
      <c r="B158" s="315">
        <v>70.7</v>
      </c>
    </row>
    <row r="159" spans="1:2">
      <c r="A159" s="47">
        <v>40210</v>
      </c>
      <c r="B159" s="316">
        <v>69.2</v>
      </c>
    </row>
    <row r="160" spans="1:2">
      <c r="A160" s="47">
        <v>40238</v>
      </c>
      <c r="B160" s="315">
        <v>71.099999999999994</v>
      </c>
    </row>
    <row r="161" spans="1:2">
      <c r="A161" s="47">
        <v>40269</v>
      </c>
      <c r="B161" s="316">
        <v>72.2</v>
      </c>
    </row>
    <row r="162" spans="1:2">
      <c r="A162" s="47">
        <v>40299</v>
      </c>
      <c r="B162" s="315">
        <v>68.900000000000006</v>
      </c>
    </row>
    <row r="163" spans="1:2">
      <c r="A163" s="47">
        <v>40330</v>
      </c>
      <c r="B163" s="316">
        <v>67.7</v>
      </c>
    </row>
    <row r="164" spans="1:2">
      <c r="A164" s="47">
        <v>40360</v>
      </c>
      <c r="B164" s="315">
        <v>68.2</v>
      </c>
    </row>
    <row r="165" spans="1:2">
      <c r="A165" s="47">
        <v>40391</v>
      </c>
      <c r="B165" s="316">
        <v>69.5</v>
      </c>
    </row>
    <row r="166" spans="1:2">
      <c r="A166" s="47">
        <v>40422</v>
      </c>
      <c r="B166" s="315">
        <v>71.5</v>
      </c>
    </row>
    <row r="167" spans="1:2">
      <c r="A167" s="47">
        <v>40452</v>
      </c>
      <c r="B167" s="316">
        <v>73.2</v>
      </c>
    </row>
    <row r="168" spans="1:2">
      <c r="A168" s="47">
        <v>40483</v>
      </c>
      <c r="B168" s="315">
        <v>74</v>
      </c>
    </row>
    <row r="169" spans="1:2">
      <c r="A169" s="47">
        <v>40513</v>
      </c>
      <c r="B169" s="316">
        <v>74.7</v>
      </c>
    </row>
    <row r="170" spans="1:2">
      <c r="A170" s="47">
        <v>40544</v>
      </c>
      <c r="B170" s="315">
        <v>74.3</v>
      </c>
    </row>
    <row r="171" spans="1:2">
      <c r="A171" s="47">
        <v>40575</v>
      </c>
      <c r="B171" s="316">
        <v>75.099999999999994</v>
      </c>
    </row>
    <row r="172" spans="1:2">
      <c r="A172" s="47">
        <v>40603</v>
      </c>
      <c r="B172" s="315">
        <v>74.8</v>
      </c>
    </row>
    <row r="173" spans="1:2">
      <c r="A173" s="47">
        <v>40634</v>
      </c>
      <c r="B173" s="316">
        <v>77.400000000000006</v>
      </c>
    </row>
    <row r="174" spans="1:2">
      <c r="A174" s="47">
        <v>40664</v>
      </c>
      <c r="B174" s="315">
        <v>77.900000000000006</v>
      </c>
    </row>
    <row r="175" spans="1:2">
      <c r="A175" s="47">
        <v>40695</v>
      </c>
      <c r="B175" s="316">
        <v>77</v>
      </c>
    </row>
    <row r="176" spans="1:2">
      <c r="A176" s="47">
        <v>40725</v>
      </c>
      <c r="B176" s="315">
        <v>77.7</v>
      </c>
    </row>
    <row r="177" spans="1:2">
      <c r="A177" s="47">
        <v>40756</v>
      </c>
      <c r="B177" s="316">
        <v>75.3</v>
      </c>
    </row>
    <row r="178" spans="1:2">
      <c r="A178" s="47">
        <v>40787</v>
      </c>
      <c r="B178" s="315">
        <v>74.7</v>
      </c>
    </row>
    <row r="179" spans="1:2">
      <c r="A179" s="47">
        <v>40817</v>
      </c>
      <c r="B179" s="316">
        <v>74.5</v>
      </c>
    </row>
    <row r="180" spans="1:2">
      <c r="A180" s="47">
        <v>40848</v>
      </c>
      <c r="B180" s="315">
        <v>74.599999999999994</v>
      </c>
    </row>
    <row r="181" spans="1:2">
      <c r="A181" s="47">
        <v>40878</v>
      </c>
      <c r="B181" s="316">
        <v>75.3</v>
      </c>
    </row>
    <row r="182" spans="1:2">
      <c r="A182" s="47">
        <v>40909</v>
      </c>
      <c r="B182" s="315">
        <v>77</v>
      </c>
    </row>
    <row r="183" spans="1:2">
      <c r="A183" s="47">
        <v>40940</v>
      </c>
      <c r="B183" s="316">
        <v>78.599999999999994</v>
      </c>
    </row>
    <row r="184" spans="1:2">
      <c r="A184" s="47">
        <v>40969</v>
      </c>
      <c r="B184" s="315">
        <v>78.099999999999994</v>
      </c>
    </row>
    <row r="185" spans="1:2">
      <c r="A185" s="47">
        <v>41000</v>
      </c>
      <c r="B185" s="316">
        <v>76.599999999999994</v>
      </c>
    </row>
    <row r="186" spans="1:2">
      <c r="A186" s="47">
        <v>41030</v>
      </c>
      <c r="B186" s="315">
        <v>74.599999999999994</v>
      </c>
    </row>
    <row r="187" spans="1:2">
      <c r="A187" s="47">
        <v>41061</v>
      </c>
      <c r="B187" s="316">
        <v>75.2</v>
      </c>
    </row>
    <row r="188" spans="1:2">
      <c r="A188" s="47">
        <v>41091</v>
      </c>
      <c r="B188" s="315">
        <v>77.400000000000006</v>
      </c>
    </row>
    <row r="189" spans="1:2">
      <c r="A189" s="47">
        <v>41122</v>
      </c>
      <c r="B189" s="316">
        <v>78.3</v>
      </c>
    </row>
    <row r="190" spans="1:2">
      <c r="A190" s="47">
        <v>41153</v>
      </c>
      <c r="B190" s="315">
        <v>76.900000000000006</v>
      </c>
    </row>
    <row r="191" spans="1:2">
      <c r="A191" s="47">
        <v>41183</v>
      </c>
      <c r="B191" s="316">
        <v>75.900000000000006</v>
      </c>
    </row>
    <row r="192" spans="1:2">
      <c r="A192" s="47">
        <v>41214</v>
      </c>
      <c r="B192" s="315">
        <v>77</v>
      </c>
    </row>
    <row r="193" spans="1:2">
      <c r="A193" s="47">
        <v>41244</v>
      </c>
      <c r="B193" s="316">
        <v>77.5</v>
      </c>
    </row>
    <row r="194" spans="1:2">
      <c r="A194" s="47">
        <v>41275</v>
      </c>
      <c r="B194" s="315">
        <v>78.2</v>
      </c>
    </row>
    <row r="195" spans="1:2">
      <c r="A195" s="47">
        <v>41306</v>
      </c>
      <c r="B195" s="316">
        <v>77.599999999999994</v>
      </c>
    </row>
    <row r="196" spans="1:2">
      <c r="A196" s="47">
        <v>41334</v>
      </c>
      <c r="B196" s="315">
        <v>78.400000000000006</v>
      </c>
    </row>
    <row r="197" spans="1:2">
      <c r="A197" s="47">
        <v>41365</v>
      </c>
      <c r="B197" s="316">
        <v>78.8</v>
      </c>
    </row>
    <row r="198" spans="1:2">
      <c r="A198" s="47">
        <v>41395</v>
      </c>
      <c r="B198" s="315">
        <v>75.7</v>
      </c>
    </row>
    <row r="199" spans="1:2">
      <c r="A199" s="47">
        <v>41426</v>
      </c>
      <c r="B199" s="316">
        <v>72.099999999999994</v>
      </c>
    </row>
    <row r="200" spans="1:2">
      <c r="A200" s="47">
        <v>41456</v>
      </c>
      <c r="B200" s="315">
        <v>70.599999999999994</v>
      </c>
    </row>
    <row r="201" spans="1:2">
      <c r="A201" s="47">
        <v>41487</v>
      </c>
      <c r="B201" s="316">
        <v>69.5</v>
      </c>
    </row>
    <row r="202" spans="1:2">
      <c r="A202" s="47">
        <v>41518</v>
      </c>
      <c r="B202" s="315">
        <v>71.3</v>
      </c>
    </row>
    <row r="203" spans="1:2">
      <c r="A203" s="47">
        <v>41548</v>
      </c>
      <c r="B203" s="316">
        <v>72.400000000000006</v>
      </c>
    </row>
    <row r="204" spans="1:2">
      <c r="A204" s="47">
        <v>41579</v>
      </c>
      <c r="B204" s="315">
        <v>71.400000000000006</v>
      </c>
    </row>
    <row r="205" spans="1:2">
      <c r="A205" s="47">
        <v>41609</v>
      </c>
      <c r="B205" s="316">
        <v>69.099999999999994</v>
      </c>
    </row>
    <row r="206" spans="1:2">
      <c r="A206" s="47">
        <v>41640</v>
      </c>
      <c r="B206" s="315">
        <v>68.376190476190487</v>
      </c>
    </row>
    <row r="207" spans="1:2">
      <c r="A207" s="47">
        <v>41671</v>
      </c>
      <c r="B207" s="316">
        <v>69.00500000000001</v>
      </c>
    </row>
    <row r="208" spans="1:2">
      <c r="A208" s="47">
        <v>41699</v>
      </c>
      <c r="B208" s="315">
        <v>69.742857142857133</v>
      </c>
    </row>
    <row r="209" spans="1:2">
      <c r="A209" s="47">
        <v>41730</v>
      </c>
      <c r="B209" s="316">
        <v>71.510526315789491</v>
      </c>
    </row>
    <row r="210" spans="1:2">
      <c r="A210" s="47">
        <v>41760</v>
      </c>
      <c r="B210" s="315">
        <v>71.336363636363643</v>
      </c>
    </row>
    <row r="211" spans="1:2">
      <c r="A211" s="47">
        <v>41791</v>
      </c>
      <c r="B211" s="316">
        <v>71.915000000000006</v>
      </c>
    </row>
    <row r="212" spans="1:2">
      <c r="A212" s="47">
        <v>41821</v>
      </c>
      <c r="B212" s="315">
        <v>71.826086956521735</v>
      </c>
    </row>
    <row r="213" spans="1:2">
      <c r="A213" s="47">
        <v>41852</v>
      </c>
      <c r="B213" s="316">
        <v>71.49499999999999</v>
      </c>
    </row>
    <row r="214" spans="1:2">
      <c r="A214" s="47">
        <v>41883</v>
      </c>
      <c r="B214" s="315">
        <v>70.536363636363632</v>
      </c>
    </row>
    <row r="215" spans="1:2">
      <c r="A215" s="47">
        <v>41913</v>
      </c>
      <c r="B215" s="316">
        <v>68.945454545454538</v>
      </c>
    </row>
    <row r="216" spans="1:2">
      <c r="A216" s="47">
        <v>41944</v>
      </c>
      <c r="B216" s="315">
        <v>69.08</v>
      </c>
    </row>
    <row r="217" spans="1:2">
      <c r="A217" s="47">
        <v>41974</v>
      </c>
      <c r="B217" s="316">
        <v>66.752380952380946</v>
      </c>
    </row>
    <row r="218" spans="1:2">
      <c r="A218" s="47">
        <v>42005</v>
      </c>
      <c r="B218" s="315">
        <v>66.015000000000001</v>
      </c>
    </row>
    <row r="219" spans="1:2">
      <c r="A219" s="47">
        <v>42036</v>
      </c>
      <c r="B219" s="316">
        <v>63.949999999999989</v>
      </c>
    </row>
    <row r="220" spans="1:2">
      <c r="A220" s="47">
        <v>42064</v>
      </c>
      <c r="B220" s="315">
        <v>64.13181818181819</v>
      </c>
    </row>
    <row r="221" spans="1:2">
      <c r="A221" s="47">
        <v>42095</v>
      </c>
      <c r="B221" s="316">
        <v>63.785000000000004</v>
      </c>
    </row>
    <row r="222" spans="1:2">
      <c r="A222" s="47">
        <v>42125</v>
      </c>
      <c r="B222" s="315">
        <v>65.033333333333331</v>
      </c>
    </row>
    <row r="223" spans="1:2">
      <c r="A223" s="47">
        <v>42156</v>
      </c>
      <c r="B223" s="316">
        <v>64.104761904761901</v>
      </c>
    </row>
    <row r="224" spans="1:2">
      <c r="A224" s="47">
        <v>42186</v>
      </c>
      <c r="B224" s="315">
        <v>62.121739130434797</v>
      </c>
    </row>
    <row r="225" spans="1:2">
      <c r="A225" s="47">
        <v>42217</v>
      </c>
      <c r="B225" s="316">
        <v>61.975000000000001</v>
      </c>
    </row>
    <row r="226" spans="1:2">
      <c r="A226" s="47">
        <v>42248</v>
      </c>
      <c r="B226" s="315">
        <v>60.204545454545453</v>
      </c>
    </row>
    <row r="227" spans="1:2">
      <c r="A227" s="47">
        <v>42278</v>
      </c>
      <c r="B227" s="316">
        <v>61.042857142857137</v>
      </c>
    </row>
    <row r="228" spans="1:2">
      <c r="A228" s="47">
        <v>42309</v>
      </c>
      <c r="B228" s="315">
        <v>61.25238095238096</v>
      </c>
    </row>
    <row r="229" spans="1:2">
      <c r="A229" s="47">
        <v>42339</v>
      </c>
      <c r="B229" s="316">
        <v>62.24285714285714</v>
      </c>
    </row>
    <row r="230" spans="1:2">
      <c r="A230" s="47">
        <v>42370</v>
      </c>
      <c r="B230" s="315">
        <v>60.752631578947366</v>
      </c>
    </row>
    <row r="231" spans="1:2">
      <c r="A231" s="47">
        <v>42401</v>
      </c>
      <c r="B231" s="316">
        <v>61.157142857142865</v>
      </c>
    </row>
    <row r="232" spans="1:2">
      <c r="A232" s="47">
        <v>42430</v>
      </c>
      <c r="B232" s="315">
        <v>63.561904761904771</v>
      </c>
    </row>
    <row r="233" spans="1:2">
      <c r="A233" s="47">
        <v>42461</v>
      </c>
      <c r="B233" s="316">
        <v>64.214999999999989</v>
      </c>
    </row>
    <row r="234" spans="1:2">
      <c r="A234" s="47">
        <v>42491</v>
      </c>
      <c r="B234" s="315">
        <v>61.75454545454545</v>
      </c>
    </row>
    <row r="235" spans="1:2">
      <c r="A235" s="47">
        <v>42522</v>
      </c>
      <c r="B235" s="316">
        <v>62.261904761904759</v>
      </c>
    </row>
    <row r="236" spans="1:2">
      <c r="A236" s="47">
        <v>42552</v>
      </c>
      <c r="B236" s="315">
        <v>63.538095238095238</v>
      </c>
    </row>
    <row r="237" spans="1:2">
      <c r="A237" s="47">
        <v>42583</v>
      </c>
      <c r="B237" s="316">
        <v>63.859090909090902</v>
      </c>
    </row>
    <row r="238" spans="1:2">
      <c r="A238" s="47">
        <v>42614</v>
      </c>
      <c r="B238" s="315">
        <v>63.704545454545453</v>
      </c>
    </row>
    <row r="239" spans="1:2">
      <c r="A239" s="47">
        <v>42644</v>
      </c>
      <c r="B239" s="316">
        <v>64.67</v>
      </c>
    </row>
    <row r="240" spans="1:2">
      <c r="A240" s="47">
        <v>42675</v>
      </c>
      <c r="B240" s="315">
        <v>65.031818181818167</v>
      </c>
    </row>
    <row r="241" spans="1:2" ht="15.75" thickBot="1">
      <c r="A241" s="48">
        <v>42705</v>
      </c>
      <c r="B241" s="317">
        <v>64.664999999999992</v>
      </c>
    </row>
  </sheetData>
  <mergeCells count="2">
    <mergeCell ref="D5:E5"/>
    <mergeCell ref="D6:E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X421"/>
  <sheetViews>
    <sheetView showGridLines="0" zoomScaleNormal="100" workbookViewId="0">
      <pane ySplit="7" topLeftCell="A8" activePane="bottomLeft" state="frozen"/>
      <selection pane="bottomLeft" activeCell="A8" sqref="A8"/>
    </sheetView>
  </sheetViews>
  <sheetFormatPr defaultRowHeight="15"/>
  <cols>
    <col min="1" max="1" width="14.42578125" style="428" customWidth="1"/>
    <col min="2" max="2" width="7.140625" style="428" customWidth="1"/>
    <col min="3" max="4" width="7.85546875" style="428" bestFit="1" customWidth="1"/>
    <col min="5" max="5" width="7.7109375" style="428" bestFit="1" customWidth="1"/>
    <col min="6" max="7" width="8.42578125" style="428" bestFit="1" customWidth="1"/>
    <col min="8" max="8" width="7.7109375" style="428" bestFit="1" customWidth="1"/>
    <col min="9" max="10" width="8.42578125" style="428" bestFit="1" customWidth="1"/>
    <col min="11" max="11" width="8" style="428" bestFit="1" customWidth="1"/>
    <col min="12" max="13" width="8.7109375" style="428" bestFit="1" customWidth="1"/>
    <col min="14" max="18" width="9.140625" style="428"/>
    <col min="19" max="19" width="13.28515625" style="428" customWidth="1"/>
    <col min="20" max="16384" width="9.140625" style="428"/>
  </cols>
  <sheetData>
    <row r="4" spans="1:13" s="137" customFormat="1">
      <c r="A4" s="428"/>
      <c r="B4" s="428"/>
      <c r="C4" s="428"/>
      <c r="D4" s="428"/>
      <c r="E4" s="428"/>
      <c r="F4" s="428"/>
      <c r="G4" s="428"/>
    </row>
    <row r="5" spans="1:13" s="137" customFormat="1" ht="13.5" thickBot="1">
      <c r="A5" s="32"/>
      <c r="B5" s="31"/>
    </row>
    <row r="6" spans="1:13" s="137" customFormat="1">
      <c r="A6" s="83" t="s">
        <v>51</v>
      </c>
      <c r="B6" s="72" t="s">
        <v>31</v>
      </c>
      <c r="C6" s="73"/>
      <c r="D6" s="73"/>
      <c r="E6" s="72" t="s">
        <v>32</v>
      </c>
      <c r="F6" s="72"/>
      <c r="G6" s="72"/>
      <c r="H6" s="72" t="s">
        <v>33</v>
      </c>
      <c r="I6" s="72"/>
      <c r="J6" s="72"/>
      <c r="K6" s="72" t="s">
        <v>34</v>
      </c>
      <c r="L6" s="72"/>
      <c r="M6" s="72"/>
    </row>
    <row r="7" spans="1:13" s="137" customFormat="1">
      <c r="A7" s="84" t="s">
        <v>352</v>
      </c>
      <c r="B7" s="74" t="s">
        <v>5</v>
      </c>
      <c r="C7" s="74" t="s">
        <v>35</v>
      </c>
      <c r="D7" s="74" t="s">
        <v>4</v>
      </c>
      <c r="E7" s="74" t="s">
        <v>5</v>
      </c>
      <c r="F7" s="74" t="s">
        <v>35</v>
      </c>
      <c r="G7" s="74" t="s">
        <v>4</v>
      </c>
      <c r="H7" s="74" t="s">
        <v>5</v>
      </c>
      <c r="I7" s="74" t="s">
        <v>35</v>
      </c>
      <c r="J7" s="74" t="s">
        <v>4</v>
      </c>
      <c r="K7" s="74" t="s">
        <v>5</v>
      </c>
      <c r="L7" s="74" t="s">
        <v>35</v>
      </c>
      <c r="M7" s="74" t="s">
        <v>4</v>
      </c>
    </row>
    <row r="8" spans="1:13" s="137" customFormat="1">
      <c r="A8" s="69">
        <v>30163</v>
      </c>
      <c r="B8" s="67">
        <v>39</v>
      </c>
      <c r="C8" s="67">
        <v>61.7</v>
      </c>
      <c r="D8" s="75">
        <v>47.1</v>
      </c>
      <c r="E8" s="67">
        <v>44.8</v>
      </c>
      <c r="F8" s="67">
        <v>71</v>
      </c>
      <c r="G8" s="75">
        <v>54.3</v>
      </c>
      <c r="H8" s="67">
        <v>38.799999999999997</v>
      </c>
      <c r="I8" s="67">
        <v>61.3</v>
      </c>
      <c r="J8" s="75">
        <v>46.8</v>
      </c>
      <c r="K8" s="68">
        <v>29.9</v>
      </c>
      <c r="L8" s="68">
        <v>47.4</v>
      </c>
      <c r="M8" s="70">
        <v>36.200000000000003</v>
      </c>
    </row>
    <row r="9" spans="1:13">
      <c r="A9" s="69">
        <v>30194</v>
      </c>
      <c r="B9" s="77">
        <v>39.4</v>
      </c>
      <c r="C9" s="77">
        <v>61.5</v>
      </c>
      <c r="D9" s="78">
        <v>46</v>
      </c>
      <c r="E9" s="77">
        <v>44.4</v>
      </c>
      <c r="F9" s="77">
        <v>69.5</v>
      </c>
      <c r="G9" s="78">
        <v>52.1</v>
      </c>
      <c r="H9" s="77">
        <v>39.700000000000003</v>
      </c>
      <c r="I9" s="77">
        <v>62</v>
      </c>
      <c r="J9" s="78">
        <v>46.3</v>
      </c>
      <c r="K9" s="79">
        <v>30.4</v>
      </c>
      <c r="L9" s="79">
        <v>47.5</v>
      </c>
      <c r="M9" s="80">
        <v>35.6</v>
      </c>
    </row>
    <row r="10" spans="1:13">
      <c r="A10" s="69">
        <v>30224</v>
      </c>
      <c r="B10" s="67">
        <v>40.799999999999997</v>
      </c>
      <c r="C10" s="67">
        <v>62.9</v>
      </c>
      <c r="D10" s="76">
        <v>46.7</v>
      </c>
      <c r="E10" s="67">
        <v>45.3</v>
      </c>
      <c r="F10" s="67">
        <v>69.8</v>
      </c>
      <c r="G10" s="76">
        <v>52</v>
      </c>
      <c r="H10" s="67">
        <v>41.7</v>
      </c>
      <c r="I10" s="67">
        <v>64.2</v>
      </c>
      <c r="J10" s="76">
        <v>47.7</v>
      </c>
      <c r="K10" s="68">
        <v>30.5</v>
      </c>
      <c r="L10" s="68">
        <v>47</v>
      </c>
      <c r="M10" s="70">
        <v>35</v>
      </c>
    </row>
    <row r="11" spans="1:13">
      <c r="A11" s="69">
        <v>30255</v>
      </c>
      <c r="B11" s="77">
        <v>41.3</v>
      </c>
      <c r="C11" s="77">
        <v>63</v>
      </c>
      <c r="D11" s="78">
        <v>46.5</v>
      </c>
      <c r="E11" s="77">
        <v>45.9</v>
      </c>
      <c r="F11" s="77">
        <v>70.2</v>
      </c>
      <c r="G11" s="78">
        <v>51.9</v>
      </c>
      <c r="H11" s="77">
        <v>42.1</v>
      </c>
      <c r="I11" s="77">
        <v>64.2</v>
      </c>
      <c r="J11" s="78">
        <v>47.4</v>
      </c>
      <c r="K11" s="79">
        <v>30.4</v>
      </c>
      <c r="L11" s="79">
        <v>46.5</v>
      </c>
      <c r="M11" s="80">
        <v>34.4</v>
      </c>
    </row>
    <row r="12" spans="1:13">
      <c r="A12" s="69">
        <v>30285</v>
      </c>
      <c r="B12" s="67">
        <v>41.3</v>
      </c>
      <c r="C12" s="67">
        <v>63.3</v>
      </c>
      <c r="D12" s="76">
        <v>46.5</v>
      </c>
      <c r="E12" s="67">
        <v>46</v>
      </c>
      <c r="F12" s="67">
        <v>70.599999999999994</v>
      </c>
      <c r="G12" s="76">
        <v>51.9</v>
      </c>
      <c r="H12" s="67">
        <v>42.1</v>
      </c>
      <c r="I12" s="67">
        <v>64.5</v>
      </c>
      <c r="J12" s="76">
        <v>47.3</v>
      </c>
      <c r="K12" s="68">
        <v>29.2</v>
      </c>
      <c r="L12" s="68">
        <v>44.9</v>
      </c>
      <c r="M12" s="70">
        <v>33</v>
      </c>
    </row>
    <row r="13" spans="1:13">
      <c r="A13" s="69">
        <v>30316</v>
      </c>
      <c r="B13" s="77">
        <v>40.6</v>
      </c>
      <c r="C13" s="77">
        <v>62.3</v>
      </c>
      <c r="D13" s="78">
        <v>46.9</v>
      </c>
      <c r="E13" s="77">
        <v>44.9</v>
      </c>
      <c r="F13" s="77">
        <v>69.099999999999994</v>
      </c>
      <c r="G13" s="78">
        <v>52.1</v>
      </c>
      <c r="H13" s="77">
        <v>41.6</v>
      </c>
      <c r="I13" s="77">
        <v>63.8</v>
      </c>
      <c r="J13" s="78">
        <v>47.9</v>
      </c>
      <c r="K13" s="79">
        <v>28.4</v>
      </c>
      <c r="L13" s="79">
        <v>43.6</v>
      </c>
      <c r="M13" s="80">
        <v>32.9</v>
      </c>
    </row>
    <row r="14" spans="1:13">
      <c r="A14" s="69">
        <v>30347</v>
      </c>
      <c r="B14" s="67">
        <v>40.9</v>
      </c>
      <c r="C14" s="67">
        <v>63.3</v>
      </c>
      <c r="D14" s="76">
        <v>48</v>
      </c>
      <c r="E14" s="67">
        <v>44.6</v>
      </c>
      <c r="F14" s="67">
        <v>69.2</v>
      </c>
      <c r="G14" s="76">
        <v>52.5</v>
      </c>
      <c r="H14" s="67">
        <v>42.3</v>
      </c>
      <c r="I14" s="67">
        <v>65.400000000000006</v>
      </c>
      <c r="J14" s="76">
        <v>49.6</v>
      </c>
      <c r="K14" s="68">
        <v>29.9</v>
      </c>
      <c r="L14" s="68">
        <v>46.3</v>
      </c>
      <c r="M14" s="70">
        <v>35.1</v>
      </c>
    </row>
    <row r="15" spans="1:13">
      <c r="A15" s="69">
        <v>30375</v>
      </c>
      <c r="B15" s="77">
        <v>41.9</v>
      </c>
      <c r="C15" s="77">
        <v>64.5</v>
      </c>
      <c r="D15" s="78">
        <v>48.4</v>
      </c>
      <c r="E15" s="77">
        <v>46.1</v>
      </c>
      <c r="F15" s="77">
        <v>71</v>
      </c>
      <c r="G15" s="78">
        <v>53.4</v>
      </c>
      <c r="H15" s="77">
        <v>43.1</v>
      </c>
      <c r="I15" s="77">
        <v>66.3</v>
      </c>
      <c r="J15" s="78">
        <v>49.7</v>
      </c>
      <c r="K15" s="79">
        <v>31.9</v>
      </c>
      <c r="L15" s="79">
        <v>49.1</v>
      </c>
      <c r="M15" s="80">
        <v>36.9</v>
      </c>
    </row>
    <row r="16" spans="1:13">
      <c r="A16" s="69">
        <v>30406</v>
      </c>
      <c r="B16" s="67">
        <v>44.2</v>
      </c>
      <c r="C16" s="67">
        <v>62.4</v>
      </c>
      <c r="D16" s="76">
        <v>46.7</v>
      </c>
      <c r="E16" s="67">
        <v>50.6</v>
      </c>
      <c r="F16" s="67">
        <v>71.599999999999994</v>
      </c>
      <c r="G16" s="76">
        <v>53.6</v>
      </c>
      <c r="H16" s="67">
        <v>44.2</v>
      </c>
      <c r="I16" s="67">
        <v>62.3</v>
      </c>
      <c r="J16" s="76">
        <v>46.5</v>
      </c>
      <c r="K16" s="68">
        <v>35.700000000000003</v>
      </c>
      <c r="L16" s="68">
        <v>50.5</v>
      </c>
      <c r="M16" s="70">
        <v>37.799999999999997</v>
      </c>
    </row>
    <row r="17" spans="1:13">
      <c r="A17" s="69">
        <v>30436</v>
      </c>
      <c r="B17" s="77">
        <v>45.1</v>
      </c>
      <c r="C17" s="77">
        <v>62.7</v>
      </c>
      <c r="D17" s="78">
        <v>46.7</v>
      </c>
      <c r="E17" s="77">
        <v>52.9</v>
      </c>
      <c r="F17" s="77">
        <v>73.599999999999994</v>
      </c>
      <c r="G17" s="78">
        <v>54.9</v>
      </c>
      <c r="H17" s="77">
        <v>44.2</v>
      </c>
      <c r="I17" s="77">
        <v>61.4</v>
      </c>
      <c r="J17" s="78">
        <v>45.7</v>
      </c>
      <c r="K17" s="79">
        <v>37.6</v>
      </c>
      <c r="L17" s="79">
        <v>52.3</v>
      </c>
      <c r="M17" s="80">
        <v>39</v>
      </c>
    </row>
    <row r="18" spans="1:13">
      <c r="A18" s="69">
        <v>30467</v>
      </c>
      <c r="B18" s="67">
        <v>45.1</v>
      </c>
      <c r="C18" s="67">
        <v>63.4</v>
      </c>
      <c r="D18" s="76">
        <v>47.2</v>
      </c>
      <c r="E18" s="67">
        <v>53.9</v>
      </c>
      <c r="F18" s="67">
        <v>76</v>
      </c>
      <c r="G18" s="76">
        <v>56.7</v>
      </c>
      <c r="H18" s="67">
        <v>43.4</v>
      </c>
      <c r="I18" s="67">
        <v>61</v>
      </c>
      <c r="J18" s="76">
        <v>45.5</v>
      </c>
      <c r="K18" s="68">
        <v>38.4</v>
      </c>
      <c r="L18" s="68">
        <v>54.1</v>
      </c>
      <c r="M18" s="70">
        <v>40.4</v>
      </c>
    </row>
    <row r="19" spans="1:13">
      <c r="A19" s="69">
        <v>30497</v>
      </c>
      <c r="B19" s="77">
        <v>44.8</v>
      </c>
      <c r="C19" s="77">
        <v>63.7</v>
      </c>
      <c r="D19" s="78">
        <v>46.9</v>
      </c>
      <c r="E19" s="77">
        <v>54.5</v>
      </c>
      <c r="F19" s="77">
        <v>77.7</v>
      </c>
      <c r="G19" s="78">
        <v>57.3</v>
      </c>
      <c r="H19" s="77">
        <v>42.5</v>
      </c>
      <c r="I19" s="77">
        <v>60.4</v>
      </c>
      <c r="J19" s="78">
        <v>44.5</v>
      </c>
      <c r="K19" s="79">
        <v>37.700000000000003</v>
      </c>
      <c r="L19" s="79">
        <v>53.7</v>
      </c>
      <c r="M19" s="80">
        <v>39.6</v>
      </c>
    </row>
    <row r="20" spans="1:13">
      <c r="A20" s="69">
        <v>30528</v>
      </c>
      <c r="B20" s="67">
        <v>44.4</v>
      </c>
      <c r="C20" s="67">
        <v>63.4</v>
      </c>
      <c r="D20" s="76">
        <v>46.4</v>
      </c>
      <c r="E20" s="67">
        <v>53.8</v>
      </c>
      <c r="F20" s="67">
        <v>76.900000000000006</v>
      </c>
      <c r="G20" s="76">
        <v>56.4</v>
      </c>
      <c r="H20" s="67">
        <v>42.3</v>
      </c>
      <c r="I20" s="67">
        <v>60.4</v>
      </c>
      <c r="J20" s="76">
        <v>44.2</v>
      </c>
      <c r="K20" s="68">
        <v>38.299999999999997</v>
      </c>
      <c r="L20" s="68">
        <v>54.7</v>
      </c>
      <c r="M20" s="70">
        <v>40.1</v>
      </c>
    </row>
    <row r="21" spans="1:13">
      <c r="A21" s="69">
        <v>30559</v>
      </c>
      <c r="B21" s="77">
        <v>44.8</v>
      </c>
      <c r="C21" s="77">
        <v>65</v>
      </c>
      <c r="D21" s="78">
        <v>47</v>
      </c>
      <c r="E21" s="77">
        <v>54</v>
      </c>
      <c r="F21" s="77">
        <v>78.599999999999994</v>
      </c>
      <c r="G21" s="78">
        <v>56.9</v>
      </c>
      <c r="H21" s="77">
        <v>42.8</v>
      </c>
      <c r="I21" s="77">
        <v>62.1</v>
      </c>
      <c r="J21" s="78">
        <v>44.9</v>
      </c>
      <c r="K21" s="79">
        <v>39.1</v>
      </c>
      <c r="L21" s="79">
        <v>56.9</v>
      </c>
      <c r="M21" s="80">
        <v>41.2</v>
      </c>
    </row>
    <row r="22" spans="1:13">
      <c r="A22" s="69">
        <v>30589</v>
      </c>
      <c r="B22" s="67">
        <v>43.8</v>
      </c>
      <c r="C22" s="67">
        <v>64.099999999999994</v>
      </c>
      <c r="D22" s="76">
        <v>46.4</v>
      </c>
      <c r="E22" s="67">
        <v>53</v>
      </c>
      <c r="F22" s="67">
        <v>77.8</v>
      </c>
      <c r="G22" s="76">
        <v>56.3</v>
      </c>
      <c r="H22" s="67">
        <v>41.8</v>
      </c>
      <c r="I22" s="67">
        <v>61.2</v>
      </c>
      <c r="J22" s="76">
        <v>44.2</v>
      </c>
      <c r="K22" s="68">
        <v>38.9</v>
      </c>
      <c r="L22" s="68">
        <v>57</v>
      </c>
      <c r="M22" s="70">
        <v>41.3</v>
      </c>
    </row>
    <row r="23" spans="1:13">
      <c r="A23" s="69">
        <v>30620</v>
      </c>
      <c r="B23" s="77">
        <v>42.7</v>
      </c>
      <c r="C23" s="77">
        <v>63.8</v>
      </c>
      <c r="D23" s="78">
        <v>46.6</v>
      </c>
      <c r="E23" s="77">
        <v>51.9</v>
      </c>
      <c r="F23" s="77">
        <v>77.599999999999994</v>
      </c>
      <c r="G23" s="78">
        <v>56.9</v>
      </c>
      <c r="H23" s="77">
        <v>40.6</v>
      </c>
      <c r="I23" s="77">
        <v>60.6</v>
      </c>
      <c r="J23" s="78">
        <v>44.3</v>
      </c>
      <c r="K23" s="79">
        <v>37</v>
      </c>
      <c r="L23" s="79">
        <v>55.3</v>
      </c>
      <c r="M23" s="80">
        <v>40.4</v>
      </c>
    </row>
    <row r="24" spans="1:13">
      <c r="A24" s="69">
        <v>30650</v>
      </c>
      <c r="B24" s="67">
        <v>41.6</v>
      </c>
      <c r="C24" s="67">
        <v>62.7</v>
      </c>
      <c r="D24" s="76">
        <v>45.4</v>
      </c>
      <c r="E24" s="67">
        <v>49.6</v>
      </c>
      <c r="F24" s="67">
        <v>74.900000000000006</v>
      </c>
      <c r="G24" s="76">
        <v>54.4</v>
      </c>
      <c r="H24" s="67">
        <v>40.200000000000003</v>
      </c>
      <c r="I24" s="67">
        <v>60.6</v>
      </c>
      <c r="J24" s="76">
        <v>43.9</v>
      </c>
      <c r="K24" s="68">
        <v>36</v>
      </c>
      <c r="L24" s="68">
        <v>54.4</v>
      </c>
      <c r="M24" s="70">
        <v>39.5</v>
      </c>
    </row>
    <row r="25" spans="1:13">
      <c r="A25" s="69">
        <v>30681</v>
      </c>
      <c r="B25" s="77">
        <v>41.8</v>
      </c>
      <c r="C25" s="77">
        <v>62.4</v>
      </c>
      <c r="D25" s="78">
        <v>44.9</v>
      </c>
      <c r="E25" s="77">
        <v>49.3</v>
      </c>
      <c r="F25" s="77">
        <v>73.7</v>
      </c>
      <c r="G25" s="78">
        <v>53.2</v>
      </c>
      <c r="H25" s="77">
        <v>40.799999999999997</v>
      </c>
      <c r="I25" s="77">
        <v>60.9</v>
      </c>
      <c r="J25" s="78">
        <v>43.8</v>
      </c>
      <c r="K25" s="79">
        <v>37.1</v>
      </c>
      <c r="L25" s="79">
        <v>55.4</v>
      </c>
      <c r="M25" s="80">
        <v>40</v>
      </c>
    </row>
    <row r="26" spans="1:13">
      <c r="A26" s="69">
        <v>30712</v>
      </c>
      <c r="B26" s="67">
        <v>41.7</v>
      </c>
      <c r="C26" s="67">
        <v>63.1</v>
      </c>
      <c r="D26" s="76">
        <v>45</v>
      </c>
      <c r="E26" s="67">
        <v>49.1</v>
      </c>
      <c r="F26" s="67">
        <v>74.5</v>
      </c>
      <c r="G26" s="76">
        <v>53.2</v>
      </c>
      <c r="H26" s="67">
        <v>40.6</v>
      </c>
      <c r="I26" s="67">
        <v>61.5</v>
      </c>
      <c r="J26" s="76">
        <v>43.8</v>
      </c>
      <c r="K26" s="68">
        <v>37.5</v>
      </c>
      <c r="L26" s="68">
        <v>56.8</v>
      </c>
      <c r="M26" s="70">
        <v>40.6</v>
      </c>
    </row>
    <row r="27" spans="1:13">
      <c r="A27" s="69">
        <v>30741</v>
      </c>
      <c r="B27" s="77">
        <v>40.6</v>
      </c>
      <c r="C27" s="77">
        <v>62.8</v>
      </c>
      <c r="D27" s="78">
        <v>45.2</v>
      </c>
      <c r="E27" s="77">
        <v>48</v>
      </c>
      <c r="F27" s="77">
        <v>74.5</v>
      </c>
      <c r="G27" s="78">
        <v>53.7</v>
      </c>
      <c r="H27" s="77">
        <v>39.4</v>
      </c>
      <c r="I27" s="77">
        <v>61.1</v>
      </c>
      <c r="J27" s="78">
        <v>43.9</v>
      </c>
      <c r="K27" s="79">
        <v>36.299999999999997</v>
      </c>
      <c r="L27" s="79">
        <v>56.3</v>
      </c>
      <c r="M27" s="80">
        <v>40.6</v>
      </c>
    </row>
    <row r="28" spans="1:13">
      <c r="A28" s="69">
        <v>30772</v>
      </c>
      <c r="B28" s="67">
        <v>40.700000000000003</v>
      </c>
      <c r="C28" s="67">
        <v>63.1</v>
      </c>
      <c r="D28" s="76">
        <v>46.2</v>
      </c>
      <c r="E28" s="67">
        <v>48.3</v>
      </c>
      <c r="F28" s="67">
        <v>75</v>
      </c>
      <c r="G28" s="76">
        <v>55</v>
      </c>
      <c r="H28" s="67">
        <v>39.5</v>
      </c>
      <c r="I28" s="67">
        <v>61.2</v>
      </c>
      <c r="J28" s="76">
        <v>44.8</v>
      </c>
      <c r="K28" s="68">
        <v>37</v>
      </c>
      <c r="L28" s="68">
        <v>57.5</v>
      </c>
      <c r="M28" s="70">
        <v>42.1</v>
      </c>
    </row>
    <row r="29" spans="1:13">
      <c r="A29" s="69">
        <v>30802</v>
      </c>
      <c r="B29" s="77">
        <v>40.6</v>
      </c>
      <c r="C29" s="77">
        <v>61.5</v>
      </c>
      <c r="D29" s="78">
        <v>44.8</v>
      </c>
      <c r="E29" s="77">
        <v>49.7</v>
      </c>
      <c r="F29" s="77">
        <v>75.3</v>
      </c>
      <c r="G29" s="78">
        <v>55</v>
      </c>
      <c r="H29" s="77">
        <v>38.4</v>
      </c>
      <c r="I29" s="77">
        <v>58.1</v>
      </c>
      <c r="J29" s="78">
        <v>42.3</v>
      </c>
      <c r="K29" s="79">
        <v>37.700000000000003</v>
      </c>
      <c r="L29" s="79">
        <v>57.1</v>
      </c>
      <c r="M29" s="80">
        <v>41.6</v>
      </c>
    </row>
    <row r="30" spans="1:13">
      <c r="A30" s="69">
        <v>30833</v>
      </c>
      <c r="B30" s="67">
        <v>41</v>
      </c>
      <c r="C30" s="67">
        <v>61.9</v>
      </c>
      <c r="D30" s="76">
        <v>44.3</v>
      </c>
      <c r="E30" s="67">
        <v>49.5</v>
      </c>
      <c r="F30" s="67">
        <v>74.7</v>
      </c>
      <c r="G30" s="76">
        <v>53.7</v>
      </c>
      <c r="H30" s="67">
        <v>39.299999999999997</v>
      </c>
      <c r="I30" s="67">
        <v>59.2</v>
      </c>
      <c r="J30" s="76">
        <v>42.4</v>
      </c>
      <c r="K30" s="68">
        <v>36.799999999999997</v>
      </c>
      <c r="L30" s="68">
        <v>55.6</v>
      </c>
      <c r="M30" s="70">
        <v>39.9</v>
      </c>
    </row>
    <row r="31" spans="1:13">
      <c r="A31" s="69">
        <v>30863</v>
      </c>
      <c r="B31" s="77">
        <v>41.5</v>
      </c>
      <c r="C31" s="77">
        <v>61.2</v>
      </c>
      <c r="D31" s="78">
        <v>43.8</v>
      </c>
      <c r="E31" s="77">
        <v>49.7</v>
      </c>
      <c r="F31" s="77">
        <v>73.3</v>
      </c>
      <c r="G31" s="78">
        <v>52.6</v>
      </c>
      <c r="H31" s="77">
        <v>40</v>
      </c>
      <c r="I31" s="77">
        <v>58.9</v>
      </c>
      <c r="J31" s="78">
        <v>42.2</v>
      </c>
      <c r="K31" s="79">
        <v>37.200000000000003</v>
      </c>
      <c r="L31" s="79">
        <v>54.9</v>
      </c>
      <c r="M31" s="80">
        <v>39.299999999999997</v>
      </c>
    </row>
    <row r="32" spans="1:13">
      <c r="A32" s="69">
        <v>30894</v>
      </c>
      <c r="B32" s="67">
        <v>41.9</v>
      </c>
      <c r="C32" s="67">
        <v>59.5</v>
      </c>
      <c r="D32" s="76">
        <v>41.8</v>
      </c>
      <c r="E32" s="67">
        <v>49.8</v>
      </c>
      <c r="F32" s="67">
        <v>70.900000000000006</v>
      </c>
      <c r="G32" s="76">
        <v>49.9</v>
      </c>
      <c r="H32" s="67">
        <v>40.6</v>
      </c>
      <c r="I32" s="67">
        <v>57.6</v>
      </c>
      <c r="J32" s="76">
        <v>40.4</v>
      </c>
      <c r="K32" s="68">
        <v>37.4</v>
      </c>
      <c r="L32" s="68">
        <v>53.1</v>
      </c>
      <c r="M32" s="70">
        <v>37.4</v>
      </c>
    </row>
    <row r="33" spans="1:19">
      <c r="A33" s="69">
        <v>30925</v>
      </c>
      <c r="B33" s="77">
        <v>41.7</v>
      </c>
      <c r="C33" s="77">
        <v>60.2</v>
      </c>
      <c r="D33" s="78">
        <v>42.1</v>
      </c>
      <c r="E33" s="77">
        <v>49.2</v>
      </c>
      <c r="F33" s="77">
        <v>71.2</v>
      </c>
      <c r="G33" s="78">
        <v>49.9</v>
      </c>
      <c r="H33" s="77">
        <v>40.6</v>
      </c>
      <c r="I33" s="77">
        <v>58.6</v>
      </c>
      <c r="J33" s="78">
        <v>41</v>
      </c>
      <c r="K33" s="79">
        <v>36.1</v>
      </c>
      <c r="L33" s="79">
        <v>52.2</v>
      </c>
      <c r="M33" s="80">
        <v>36.6</v>
      </c>
    </row>
    <row r="34" spans="1:19">
      <c r="A34" s="69">
        <v>30955</v>
      </c>
      <c r="B34" s="67">
        <v>41.7</v>
      </c>
      <c r="C34" s="67">
        <v>60.1</v>
      </c>
      <c r="D34" s="76">
        <v>41.4</v>
      </c>
      <c r="E34" s="67">
        <v>50.4</v>
      </c>
      <c r="F34" s="67">
        <v>72.8</v>
      </c>
      <c r="G34" s="76">
        <v>50.2</v>
      </c>
      <c r="H34" s="67">
        <v>39.9</v>
      </c>
      <c r="I34" s="67">
        <v>57.5</v>
      </c>
      <c r="J34" s="76">
        <v>39.6</v>
      </c>
      <c r="K34" s="68">
        <v>33.5</v>
      </c>
      <c r="L34" s="68">
        <v>48.3</v>
      </c>
      <c r="M34" s="70">
        <v>33.299999999999997</v>
      </c>
    </row>
    <row r="35" spans="1:19">
      <c r="A35" s="69">
        <v>30986</v>
      </c>
      <c r="B35" s="77">
        <v>41.5</v>
      </c>
      <c r="C35" s="77">
        <v>60.6</v>
      </c>
      <c r="D35" s="78">
        <v>41.4</v>
      </c>
      <c r="E35" s="77">
        <v>50.4</v>
      </c>
      <c r="F35" s="77">
        <v>73.7</v>
      </c>
      <c r="G35" s="78">
        <v>50.4</v>
      </c>
      <c r="H35" s="77">
        <v>39.700000000000003</v>
      </c>
      <c r="I35" s="77">
        <v>57.9</v>
      </c>
      <c r="J35" s="78">
        <v>39.5</v>
      </c>
      <c r="K35" s="79">
        <v>33.6</v>
      </c>
      <c r="L35" s="79">
        <v>49</v>
      </c>
      <c r="M35" s="80">
        <v>33.6</v>
      </c>
    </row>
    <row r="36" spans="1:19">
      <c r="A36" s="69">
        <v>31016</v>
      </c>
      <c r="B36" s="67">
        <v>41.2</v>
      </c>
      <c r="C36" s="67">
        <v>61.3</v>
      </c>
      <c r="D36" s="76">
        <v>42.3</v>
      </c>
      <c r="E36" s="67">
        <v>49.2</v>
      </c>
      <c r="F36" s="67">
        <v>73.3</v>
      </c>
      <c r="G36" s="76">
        <v>50.7</v>
      </c>
      <c r="H36" s="67">
        <v>39.799999999999997</v>
      </c>
      <c r="I36" s="67">
        <v>59.2</v>
      </c>
      <c r="J36" s="76">
        <v>40.799999999999997</v>
      </c>
      <c r="K36" s="68">
        <v>35.4</v>
      </c>
      <c r="L36" s="68">
        <v>52.7</v>
      </c>
      <c r="M36" s="70">
        <v>36.4</v>
      </c>
      <c r="P36" s="16" t="s">
        <v>564</v>
      </c>
      <c r="Q36" s="16"/>
      <c r="R36" s="16"/>
      <c r="S36" s="16"/>
    </row>
    <row r="37" spans="1:19" ht="15.75" thickBot="1">
      <c r="A37" s="69">
        <v>31047</v>
      </c>
      <c r="B37" s="77">
        <v>41</v>
      </c>
      <c r="C37" s="77">
        <v>59.8</v>
      </c>
      <c r="D37" s="78">
        <v>41.1</v>
      </c>
      <c r="E37" s="77">
        <v>49.9</v>
      </c>
      <c r="F37" s="77">
        <v>73</v>
      </c>
      <c r="G37" s="78">
        <v>50.2</v>
      </c>
      <c r="H37" s="77">
        <v>39.1</v>
      </c>
      <c r="I37" s="77">
        <v>57</v>
      </c>
      <c r="J37" s="78">
        <v>39.200000000000003</v>
      </c>
      <c r="K37" s="79">
        <v>35</v>
      </c>
      <c r="L37" s="79">
        <v>51.2</v>
      </c>
      <c r="M37" s="80">
        <v>35.200000000000003</v>
      </c>
      <c r="P37" s="15" t="s">
        <v>42</v>
      </c>
      <c r="Q37" s="15"/>
      <c r="R37" s="15"/>
      <c r="S37" s="15"/>
    </row>
    <row r="38" spans="1:19">
      <c r="A38" s="69">
        <v>31078</v>
      </c>
      <c r="B38" s="67">
        <v>41.6</v>
      </c>
      <c r="C38" s="67">
        <v>60.3</v>
      </c>
      <c r="D38" s="76">
        <v>40.5</v>
      </c>
      <c r="E38" s="67">
        <v>50.8</v>
      </c>
      <c r="F38" s="67">
        <v>73.8</v>
      </c>
      <c r="G38" s="76">
        <v>49.6</v>
      </c>
      <c r="H38" s="67">
        <v>39.6</v>
      </c>
      <c r="I38" s="67">
        <v>57.3</v>
      </c>
      <c r="J38" s="76">
        <v>38.5</v>
      </c>
      <c r="K38" s="68">
        <v>36</v>
      </c>
      <c r="L38" s="68">
        <v>52.2</v>
      </c>
      <c r="M38" s="70">
        <v>35.1</v>
      </c>
      <c r="P38" s="59"/>
      <c r="Q38" s="14" t="s">
        <v>33</v>
      </c>
      <c r="R38" s="14"/>
      <c r="S38" s="13"/>
    </row>
    <row r="39" spans="1:19" ht="15.75" thickBot="1">
      <c r="A39" s="69">
        <v>31106</v>
      </c>
      <c r="B39" s="77">
        <v>44.9</v>
      </c>
      <c r="C39" s="77">
        <v>59.9</v>
      </c>
      <c r="D39" s="78">
        <v>39.700000000000003</v>
      </c>
      <c r="E39" s="77">
        <v>55</v>
      </c>
      <c r="F39" s="77">
        <v>73.599999999999994</v>
      </c>
      <c r="G39" s="78">
        <v>48.9</v>
      </c>
      <c r="H39" s="77">
        <v>42.6</v>
      </c>
      <c r="I39" s="77">
        <v>56.8</v>
      </c>
      <c r="J39" s="78">
        <v>37.6</v>
      </c>
      <c r="K39" s="79">
        <v>40.200000000000003</v>
      </c>
      <c r="L39" s="79">
        <v>53.7</v>
      </c>
      <c r="M39" s="80">
        <v>35.700000000000003</v>
      </c>
      <c r="P39" s="57" t="s">
        <v>40</v>
      </c>
      <c r="Q39" s="58" t="s">
        <v>5</v>
      </c>
      <c r="R39" s="60" t="s">
        <v>35</v>
      </c>
      <c r="S39" s="61" t="s">
        <v>4</v>
      </c>
    </row>
    <row r="40" spans="1:19">
      <c r="A40" s="69">
        <v>31137</v>
      </c>
      <c r="B40" s="67">
        <v>47.7</v>
      </c>
      <c r="C40" s="67">
        <v>59.9</v>
      </c>
      <c r="D40" s="76">
        <v>39.6</v>
      </c>
      <c r="E40" s="67">
        <v>57.9</v>
      </c>
      <c r="F40" s="67">
        <v>72.8</v>
      </c>
      <c r="G40" s="76">
        <v>48.3</v>
      </c>
      <c r="H40" s="67">
        <v>45.6</v>
      </c>
      <c r="I40" s="67">
        <v>57.1</v>
      </c>
      <c r="J40" s="76">
        <v>37.799999999999997</v>
      </c>
      <c r="K40" s="68">
        <v>42.6</v>
      </c>
      <c r="L40" s="68">
        <v>53.5</v>
      </c>
      <c r="M40" s="70">
        <v>35.5</v>
      </c>
      <c r="P40" s="65">
        <f>LARGE(A$8:A$748,24)</f>
        <v>42035</v>
      </c>
      <c r="Q40" s="66">
        <f>SUMIF($A$8:$A$748,$P40,H$8:H$748)</f>
        <v>103.3</v>
      </c>
      <c r="R40" s="66">
        <f>SUMIF($A$8:$A$748,$P40,I$8:I$748)</f>
        <v>101.6</v>
      </c>
      <c r="S40" s="53">
        <f>SUMIF($A$8:$A$748,$P40,J$8:J$748)</f>
        <v>99.7</v>
      </c>
    </row>
    <row r="41" spans="1:19">
      <c r="A41" s="69">
        <v>31167</v>
      </c>
      <c r="B41" s="77">
        <v>49.9</v>
      </c>
      <c r="C41" s="77">
        <v>57.5</v>
      </c>
      <c r="D41" s="78">
        <v>39.299999999999997</v>
      </c>
      <c r="E41" s="77">
        <v>59.5</v>
      </c>
      <c r="F41" s="77">
        <v>68.599999999999994</v>
      </c>
      <c r="G41" s="78">
        <v>46.9</v>
      </c>
      <c r="H41" s="77">
        <v>48.3</v>
      </c>
      <c r="I41" s="77">
        <v>55.6</v>
      </c>
      <c r="J41" s="78">
        <v>38</v>
      </c>
      <c r="K41" s="79">
        <v>46.7</v>
      </c>
      <c r="L41" s="79">
        <v>53.9</v>
      </c>
      <c r="M41" s="80">
        <v>36.9</v>
      </c>
      <c r="P41" s="39">
        <f>LARGE(A$8:A$748,23)</f>
        <v>42063</v>
      </c>
      <c r="Q41" s="63">
        <f t="shared" ref="Q41:Q63" si="0">SUMIF(A$8:A$748,P41,H$8:H$748)</f>
        <v>102.8</v>
      </c>
      <c r="R41" s="63">
        <f t="shared" ref="R41:S63" si="1">SUMIF($A$8:$A$748,$P41,I$8:I$748)</f>
        <v>98.3</v>
      </c>
      <c r="S41" s="54">
        <f t="shared" si="1"/>
        <v>95.5</v>
      </c>
    </row>
    <row r="42" spans="1:19">
      <c r="A42" s="69">
        <v>31198</v>
      </c>
      <c r="B42" s="67">
        <v>48.7</v>
      </c>
      <c r="C42" s="67">
        <v>57.7</v>
      </c>
      <c r="D42" s="76">
        <v>39.299999999999997</v>
      </c>
      <c r="E42" s="67">
        <v>57.2</v>
      </c>
      <c r="F42" s="67">
        <v>67.8</v>
      </c>
      <c r="G42" s="76">
        <v>46.3</v>
      </c>
      <c r="H42" s="67">
        <v>47.6</v>
      </c>
      <c r="I42" s="67">
        <v>56.4</v>
      </c>
      <c r="J42" s="76">
        <v>38.4</v>
      </c>
      <c r="K42" s="68">
        <v>44.6</v>
      </c>
      <c r="L42" s="68">
        <v>52.9</v>
      </c>
      <c r="M42" s="70">
        <v>36.1</v>
      </c>
      <c r="P42" s="38">
        <f>LARGE(A$8:A$748,22)</f>
        <v>42094</v>
      </c>
      <c r="Q42" s="62">
        <f t="shared" si="0"/>
        <v>98.1</v>
      </c>
      <c r="R42" s="62">
        <f t="shared" si="1"/>
        <v>94.9</v>
      </c>
      <c r="S42" s="55">
        <f t="shared" si="1"/>
        <v>90.5</v>
      </c>
    </row>
    <row r="43" spans="1:19">
      <c r="A43" s="69">
        <v>31228</v>
      </c>
      <c r="B43" s="77">
        <v>48.4</v>
      </c>
      <c r="C43" s="77">
        <v>56</v>
      </c>
      <c r="D43" s="78">
        <v>38.4</v>
      </c>
      <c r="E43" s="77">
        <v>56.9</v>
      </c>
      <c r="F43" s="77">
        <v>66</v>
      </c>
      <c r="G43" s="78">
        <v>45.3</v>
      </c>
      <c r="H43" s="77">
        <v>47.2</v>
      </c>
      <c r="I43" s="77">
        <v>54.6</v>
      </c>
      <c r="J43" s="78">
        <v>37.4</v>
      </c>
      <c r="K43" s="79">
        <v>43.1</v>
      </c>
      <c r="L43" s="79">
        <v>49.9</v>
      </c>
      <c r="M43" s="80">
        <v>34.299999999999997</v>
      </c>
      <c r="P43" s="39">
        <f>LARGE(A$8:A$748,21)</f>
        <v>42124</v>
      </c>
      <c r="Q43" s="63">
        <f t="shared" si="0"/>
        <v>92</v>
      </c>
      <c r="R43" s="63">
        <f t="shared" si="1"/>
        <v>89.1</v>
      </c>
      <c r="S43" s="54">
        <f t="shared" si="1"/>
        <v>84.7</v>
      </c>
    </row>
    <row r="44" spans="1:19">
      <c r="A44" s="69">
        <v>31259</v>
      </c>
      <c r="B44" s="67">
        <v>46.5</v>
      </c>
      <c r="C44" s="67">
        <v>55.2</v>
      </c>
      <c r="D44" s="76">
        <v>38.700000000000003</v>
      </c>
      <c r="E44" s="67">
        <v>53.4</v>
      </c>
      <c r="F44" s="67">
        <v>63.5</v>
      </c>
      <c r="G44" s="76">
        <v>44.6</v>
      </c>
      <c r="H44" s="67">
        <v>46.1</v>
      </c>
      <c r="I44" s="67">
        <v>54.7</v>
      </c>
      <c r="J44" s="76">
        <v>38.299999999999997</v>
      </c>
      <c r="K44" s="68">
        <v>40.5</v>
      </c>
      <c r="L44" s="68">
        <v>48.1</v>
      </c>
      <c r="M44" s="70">
        <v>33.799999999999997</v>
      </c>
      <c r="P44" s="38">
        <f>LARGE(A$8:A$748,20)</f>
        <v>42155</v>
      </c>
      <c r="Q44" s="62">
        <f t="shared" si="0"/>
        <v>91.2</v>
      </c>
      <c r="R44" s="62">
        <f t="shared" si="1"/>
        <v>88.9</v>
      </c>
      <c r="S44" s="55">
        <f t="shared" si="1"/>
        <v>85.9</v>
      </c>
    </row>
    <row r="45" spans="1:19">
      <c r="A45" s="69">
        <v>31290</v>
      </c>
      <c r="B45" s="77">
        <v>45.8</v>
      </c>
      <c r="C45" s="77">
        <v>54.3</v>
      </c>
      <c r="D45" s="78">
        <v>38.6</v>
      </c>
      <c r="E45" s="77">
        <v>52.4</v>
      </c>
      <c r="F45" s="77">
        <v>62.3</v>
      </c>
      <c r="G45" s="78">
        <v>44.4</v>
      </c>
      <c r="H45" s="77">
        <v>45.5</v>
      </c>
      <c r="I45" s="77">
        <v>53.9</v>
      </c>
      <c r="J45" s="78">
        <v>38.299999999999997</v>
      </c>
      <c r="K45" s="79">
        <v>39.9</v>
      </c>
      <c r="L45" s="79">
        <v>47.4</v>
      </c>
      <c r="M45" s="80">
        <v>33.700000000000003</v>
      </c>
      <c r="P45" s="39">
        <f>LARGE(A$8:A$748,19)</f>
        <v>42185</v>
      </c>
      <c r="Q45" s="63">
        <f t="shared" si="0"/>
        <v>94</v>
      </c>
      <c r="R45" s="63">
        <f t="shared" si="1"/>
        <v>89.6</v>
      </c>
      <c r="S45" s="54">
        <f t="shared" si="1"/>
        <v>86.5</v>
      </c>
    </row>
    <row r="46" spans="1:19">
      <c r="A46" s="69">
        <v>31320</v>
      </c>
      <c r="B46" s="67">
        <v>47</v>
      </c>
      <c r="C46" s="67">
        <v>54.7</v>
      </c>
      <c r="D46" s="76">
        <v>38.700000000000003</v>
      </c>
      <c r="E46" s="67">
        <v>54</v>
      </c>
      <c r="F46" s="67">
        <v>63</v>
      </c>
      <c r="G46" s="76">
        <v>44.6</v>
      </c>
      <c r="H46" s="67">
        <v>46.5</v>
      </c>
      <c r="I46" s="67">
        <v>54</v>
      </c>
      <c r="J46" s="76">
        <v>38.200000000000003</v>
      </c>
      <c r="K46" s="68">
        <v>39.200000000000003</v>
      </c>
      <c r="L46" s="68">
        <v>45.6</v>
      </c>
      <c r="M46" s="70">
        <v>32.299999999999997</v>
      </c>
      <c r="P46" s="38">
        <f>LARGE(A$8:A$748,18)</f>
        <v>42216</v>
      </c>
      <c r="Q46" s="62">
        <f t="shared" si="0"/>
        <v>92.3</v>
      </c>
      <c r="R46" s="62">
        <f t="shared" si="1"/>
        <v>85</v>
      </c>
      <c r="S46" s="55">
        <f t="shared" si="1"/>
        <v>81.7</v>
      </c>
    </row>
    <row r="47" spans="1:19">
      <c r="A47" s="69">
        <v>31351</v>
      </c>
      <c r="B47" s="77">
        <v>46.3</v>
      </c>
      <c r="C47" s="77">
        <v>52.9</v>
      </c>
      <c r="D47" s="78">
        <v>38.799999999999997</v>
      </c>
      <c r="E47" s="77">
        <v>53.7</v>
      </c>
      <c r="F47" s="77">
        <v>61.5</v>
      </c>
      <c r="G47" s="78">
        <v>45.2</v>
      </c>
      <c r="H47" s="77">
        <v>45.5</v>
      </c>
      <c r="I47" s="77">
        <v>52.1</v>
      </c>
      <c r="J47" s="78">
        <v>38.200000000000003</v>
      </c>
      <c r="K47" s="79">
        <v>37.299999999999997</v>
      </c>
      <c r="L47" s="79">
        <v>42.8</v>
      </c>
      <c r="M47" s="80">
        <v>31.4</v>
      </c>
      <c r="P47" s="39">
        <f>LARGE(A$8:A$748,17)</f>
        <v>42247</v>
      </c>
      <c r="Q47" s="63">
        <f t="shared" si="0"/>
        <v>92.4</v>
      </c>
      <c r="R47" s="63">
        <f t="shared" si="1"/>
        <v>83.3</v>
      </c>
      <c r="S47" s="54">
        <f t="shared" si="1"/>
        <v>80.400000000000006</v>
      </c>
    </row>
    <row r="48" spans="1:19">
      <c r="A48" s="69">
        <v>31381</v>
      </c>
      <c r="B48" s="67">
        <v>48.1</v>
      </c>
      <c r="C48" s="67">
        <v>52.5</v>
      </c>
      <c r="D48" s="76">
        <v>38.9</v>
      </c>
      <c r="E48" s="67">
        <v>56.8</v>
      </c>
      <c r="F48" s="67">
        <v>62</v>
      </c>
      <c r="G48" s="76">
        <v>46.1</v>
      </c>
      <c r="H48" s="67">
        <v>46.9</v>
      </c>
      <c r="I48" s="67">
        <v>51.1</v>
      </c>
      <c r="J48" s="76">
        <v>37.9</v>
      </c>
      <c r="K48" s="68">
        <v>37.700000000000003</v>
      </c>
      <c r="L48" s="68">
        <v>41.2</v>
      </c>
      <c r="M48" s="70">
        <v>30.6</v>
      </c>
      <c r="P48" s="38">
        <f>LARGE(A$8:A$748,16)</f>
        <v>42277</v>
      </c>
      <c r="Q48" s="62">
        <f t="shared" si="0"/>
        <v>95.5</v>
      </c>
      <c r="R48" s="62">
        <f t="shared" si="1"/>
        <v>83</v>
      </c>
      <c r="S48" s="55">
        <f t="shared" si="1"/>
        <v>80.3</v>
      </c>
    </row>
    <row r="49" spans="1:23">
      <c r="A49" s="69">
        <v>31412</v>
      </c>
      <c r="B49" s="77">
        <v>48.1</v>
      </c>
      <c r="C49" s="77">
        <v>52.2</v>
      </c>
      <c r="D49" s="78">
        <v>39.1</v>
      </c>
      <c r="E49" s="77">
        <v>57.5</v>
      </c>
      <c r="F49" s="77">
        <v>62.4</v>
      </c>
      <c r="G49" s="78">
        <v>46.9</v>
      </c>
      <c r="H49" s="77">
        <v>46.5</v>
      </c>
      <c r="I49" s="77">
        <v>50.4</v>
      </c>
      <c r="J49" s="78">
        <v>37.799999999999997</v>
      </c>
      <c r="K49" s="79">
        <v>40.5</v>
      </c>
      <c r="L49" s="79">
        <v>44</v>
      </c>
      <c r="M49" s="80">
        <v>33</v>
      </c>
      <c r="P49" s="39">
        <f>LARGE(A$8:A$748,15)</f>
        <v>42308</v>
      </c>
      <c r="Q49" s="63">
        <f t="shared" si="0"/>
        <v>91.4</v>
      </c>
      <c r="R49" s="63">
        <f t="shared" si="1"/>
        <v>81.099999999999994</v>
      </c>
      <c r="S49" s="54">
        <f t="shared" si="1"/>
        <v>78.5</v>
      </c>
    </row>
    <row r="50" spans="1:23">
      <c r="A50" s="69">
        <v>31443</v>
      </c>
      <c r="B50" s="67">
        <v>47.2</v>
      </c>
      <c r="C50" s="67">
        <v>52</v>
      </c>
      <c r="D50" s="76">
        <v>39.299999999999997</v>
      </c>
      <c r="E50" s="67">
        <v>55.3</v>
      </c>
      <c r="F50" s="67">
        <v>61.1</v>
      </c>
      <c r="G50" s="76">
        <v>46.2</v>
      </c>
      <c r="H50" s="67">
        <v>46.2</v>
      </c>
      <c r="I50" s="67">
        <v>50.9</v>
      </c>
      <c r="J50" s="76">
        <v>38.4</v>
      </c>
      <c r="K50" s="68">
        <v>40.6</v>
      </c>
      <c r="L50" s="68">
        <v>44.8</v>
      </c>
      <c r="M50" s="70">
        <v>33.9</v>
      </c>
      <c r="P50" s="38">
        <f>LARGE(A$8:A$748,14)</f>
        <v>42338</v>
      </c>
      <c r="Q50" s="62">
        <f t="shared" si="0"/>
        <v>86.3</v>
      </c>
      <c r="R50" s="62">
        <f t="shared" si="1"/>
        <v>77.400000000000006</v>
      </c>
      <c r="S50" s="55">
        <f t="shared" si="1"/>
        <v>73.599999999999994</v>
      </c>
    </row>
    <row r="51" spans="1:23">
      <c r="A51" s="69">
        <v>31471</v>
      </c>
      <c r="B51" s="77">
        <v>45.6</v>
      </c>
      <c r="C51" s="77">
        <v>49.1</v>
      </c>
      <c r="D51" s="78">
        <v>38</v>
      </c>
      <c r="E51" s="77">
        <v>54.5</v>
      </c>
      <c r="F51" s="77">
        <v>58.8</v>
      </c>
      <c r="G51" s="78">
        <v>45.6</v>
      </c>
      <c r="H51" s="77">
        <v>44</v>
      </c>
      <c r="I51" s="77">
        <v>47.3</v>
      </c>
      <c r="J51" s="78">
        <v>36.700000000000003</v>
      </c>
      <c r="K51" s="79">
        <v>39.9</v>
      </c>
      <c r="L51" s="79">
        <v>43</v>
      </c>
      <c r="M51" s="80">
        <v>33.4</v>
      </c>
      <c r="P51" s="39">
        <f>LARGE(A$8:A$748,13)</f>
        <v>42369</v>
      </c>
      <c r="Q51" s="63">
        <f t="shared" si="0"/>
        <v>80.5</v>
      </c>
      <c r="R51" s="63">
        <f t="shared" si="1"/>
        <v>73</v>
      </c>
      <c r="S51" s="54">
        <f t="shared" si="1"/>
        <v>69.599999999999994</v>
      </c>
    </row>
    <row r="52" spans="1:23">
      <c r="A52" s="69">
        <v>31502</v>
      </c>
      <c r="B52" s="67">
        <v>45.5</v>
      </c>
      <c r="C52" s="67">
        <v>48.6</v>
      </c>
      <c r="D52" s="76">
        <v>38.4</v>
      </c>
      <c r="E52" s="67">
        <v>55.8</v>
      </c>
      <c r="F52" s="67">
        <v>59.7</v>
      </c>
      <c r="G52" s="76">
        <v>47.2</v>
      </c>
      <c r="H52" s="67">
        <v>43.2</v>
      </c>
      <c r="I52" s="67">
        <v>46.1</v>
      </c>
      <c r="J52" s="76">
        <v>36.4</v>
      </c>
      <c r="K52" s="68">
        <v>41</v>
      </c>
      <c r="L52" s="68">
        <v>43.9</v>
      </c>
      <c r="M52" s="70">
        <v>34.700000000000003</v>
      </c>
      <c r="P52" s="38">
        <f>LARGE(A$8:A$748,12)</f>
        <v>42400</v>
      </c>
      <c r="Q52" s="62">
        <f t="shared" si="0"/>
        <v>81.2</v>
      </c>
      <c r="R52" s="62">
        <f t="shared" si="1"/>
        <v>71.599999999999994</v>
      </c>
      <c r="S52" s="55">
        <f t="shared" si="1"/>
        <v>68.099999999999994</v>
      </c>
    </row>
    <row r="53" spans="1:23">
      <c r="A53" s="69">
        <v>31532</v>
      </c>
      <c r="B53" s="77">
        <v>44.5</v>
      </c>
      <c r="C53" s="77">
        <v>48.5</v>
      </c>
      <c r="D53" s="78">
        <v>38.4</v>
      </c>
      <c r="E53" s="77">
        <v>55.4</v>
      </c>
      <c r="F53" s="77">
        <v>60.5</v>
      </c>
      <c r="G53" s="78">
        <v>47.9</v>
      </c>
      <c r="H53" s="77">
        <v>41.8</v>
      </c>
      <c r="I53" s="77">
        <v>45.6</v>
      </c>
      <c r="J53" s="78">
        <v>36</v>
      </c>
      <c r="K53" s="79">
        <v>40</v>
      </c>
      <c r="L53" s="79">
        <v>43.7</v>
      </c>
      <c r="M53" s="80">
        <v>34.6</v>
      </c>
      <c r="P53" s="39">
        <f>LARGE(A$8:A$748,11)</f>
        <v>42429</v>
      </c>
      <c r="Q53" s="63">
        <f t="shared" si="0"/>
        <v>83.3</v>
      </c>
      <c r="R53" s="63">
        <f t="shared" si="1"/>
        <v>73.8</v>
      </c>
      <c r="S53" s="54">
        <f t="shared" si="1"/>
        <v>70.8</v>
      </c>
    </row>
    <row r="54" spans="1:23">
      <c r="A54" s="69">
        <v>31563</v>
      </c>
      <c r="B54" s="67">
        <v>44.1</v>
      </c>
      <c r="C54" s="67">
        <v>47.6</v>
      </c>
      <c r="D54" s="76">
        <v>38.299999999999997</v>
      </c>
      <c r="E54" s="67">
        <v>54.8</v>
      </c>
      <c r="F54" s="67">
        <v>59.2</v>
      </c>
      <c r="G54" s="76">
        <v>47.7</v>
      </c>
      <c r="H54" s="67">
        <v>41.5</v>
      </c>
      <c r="I54" s="67">
        <v>44.7</v>
      </c>
      <c r="J54" s="76">
        <v>36</v>
      </c>
      <c r="K54" s="68">
        <v>40.1</v>
      </c>
      <c r="L54" s="68">
        <v>43.2</v>
      </c>
      <c r="M54" s="70">
        <v>34.9</v>
      </c>
      <c r="P54" s="38">
        <f>LARGE(A$8:A$748,10)</f>
        <v>42460</v>
      </c>
      <c r="Q54" s="62">
        <f t="shared" si="0"/>
        <v>84.3</v>
      </c>
      <c r="R54" s="62">
        <f t="shared" si="1"/>
        <v>78.400000000000006</v>
      </c>
      <c r="S54" s="55">
        <f t="shared" si="1"/>
        <v>75.2</v>
      </c>
    </row>
    <row r="55" spans="1:23">
      <c r="A55" s="69">
        <v>31593</v>
      </c>
      <c r="B55" s="77">
        <v>44.5</v>
      </c>
      <c r="C55" s="77">
        <v>45.7</v>
      </c>
      <c r="D55" s="78">
        <v>36.6</v>
      </c>
      <c r="E55" s="77">
        <v>51.6</v>
      </c>
      <c r="F55" s="77">
        <v>53.1</v>
      </c>
      <c r="G55" s="78">
        <v>42.6</v>
      </c>
      <c r="H55" s="77">
        <v>43.8</v>
      </c>
      <c r="I55" s="77">
        <v>45</v>
      </c>
      <c r="J55" s="78">
        <v>36</v>
      </c>
      <c r="K55" s="79">
        <v>43.6</v>
      </c>
      <c r="L55" s="79">
        <v>44.9</v>
      </c>
      <c r="M55" s="80">
        <v>35.9</v>
      </c>
      <c r="P55" s="39">
        <f>LARGE(A$8:A$748,9)</f>
        <v>42490</v>
      </c>
      <c r="Q55" s="63">
        <f t="shared" si="0"/>
        <v>85.8</v>
      </c>
      <c r="R55" s="63">
        <f t="shared" si="1"/>
        <v>80.900000000000006</v>
      </c>
      <c r="S55" s="54">
        <f t="shared" si="1"/>
        <v>78.400000000000006</v>
      </c>
    </row>
    <row r="56" spans="1:23">
      <c r="A56" s="69">
        <v>31624</v>
      </c>
      <c r="B56" s="67">
        <v>46.2</v>
      </c>
      <c r="C56" s="67">
        <v>42.6</v>
      </c>
      <c r="D56" s="76">
        <v>34.799999999999997</v>
      </c>
      <c r="E56" s="67">
        <v>52.3</v>
      </c>
      <c r="F56" s="67">
        <v>48.3</v>
      </c>
      <c r="G56" s="76">
        <v>39.6</v>
      </c>
      <c r="H56" s="67">
        <v>46.1</v>
      </c>
      <c r="I56" s="67">
        <v>42.5</v>
      </c>
      <c r="J56" s="76">
        <v>34.799999999999997</v>
      </c>
      <c r="K56" s="68">
        <v>45.9</v>
      </c>
      <c r="L56" s="68">
        <v>42.3</v>
      </c>
      <c r="M56" s="70">
        <v>34.700000000000003</v>
      </c>
      <c r="P56" s="38">
        <f>LARGE(A$8:A$748,8)</f>
        <v>42521</v>
      </c>
      <c r="Q56" s="62">
        <f t="shared" si="0"/>
        <v>88.9</v>
      </c>
      <c r="R56" s="62">
        <f t="shared" si="1"/>
        <v>79.900000000000006</v>
      </c>
      <c r="S56" s="55">
        <f t="shared" si="1"/>
        <v>77.599999999999994</v>
      </c>
    </row>
    <row r="57" spans="1:23">
      <c r="A57" s="69">
        <v>31655</v>
      </c>
      <c r="B57" s="77">
        <v>48.8</v>
      </c>
      <c r="C57" s="77">
        <v>42.8</v>
      </c>
      <c r="D57" s="78">
        <v>35.6</v>
      </c>
      <c r="E57" s="77">
        <v>53.9</v>
      </c>
      <c r="F57" s="77">
        <v>47.5</v>
      </c>
      <c r="G57" s="78">
        <v>39.5</v>
      </c>
      <c r="H57" s="77">
        <v>49.4</v>
      </c>
      <c r="I57" s="77">
        <v>43.4</v>
      </c>
      <c r="J57" s="78">
        <v>36.1</v>
      </c>
      <c r="K57" s="79">
        <v>47.4</v>
      </c>
      <c r="L57" s="79">
        <v>41.7</v>
      </c>
      <c r="M57" s="80">
        <v>34.700000000000003</v>
      </c>
      <c r="P57" s="39">
        <f>LARGE(A$8:A$748,7)</f>
        <v>42551</v>
      </c>
      <c r="Q57" s="63">
        <f t="shared" si="0"/>
        <v>86.8</v>
      </c>
      <c r="R57" s="63">
        <f t="shared" si="1"/>
        <v>79.099999999999994</v>
      </c>
      <c r="S57" s="54">
        <f t="shared" si="1"/>
        <v>76.599999999999994</v>
      </c>
    </row>
    <row r="58" spans="1:23">
      <c r="A58" s="69">
        <v>31685</v>
      </c>
      <c r="B58" s="67">
        <v>48.9</v>
      </c>
      <c r="C58" s="67">
        <v>43.5</v>
      </c>
      <c r="D58" s="76">
        <v>36.200000000000003</v>
      </c>
      <c r="E58" s="67">
        <v>52.7</v>
      </c>
      <c r="F58" s="67">
        <v>46.9</v>
      </c>
      <c r="G58" s="76">
        <v>39.200000000000003</v>
      </c>
      <c r="H58" s="67">
        <v>50.3</v>
      </c>
      <c r="I58" s="67">
        <v>44.7</v>
      </c>
      <c r="J58" s="76">
        <v>37.200000000000003</v>
      </c>
      <c r="K58" s="68">
        <v>49.6</v>
      </c>
      <c r="L58" s="68">
        <v>44.1</v>
      </c>
      <c r="M58" s="70">
        <v>36.799999999999997</v>
      </c>
      <c r="P58" s="38">
        <f>LARGE(A$8:A$748,6)</f>
        <v>42582</v>
      </c>
      <c r="Q58" s="62">
        <f t="shared" si="0"/>
        <v>88.2</v>
      </c>
      <c r="R58" s="62">
        <f t="shared" si="1"/>
        <v>82.7</v>
      </c>
      <c r="S58" s="55">
        <f t="shared" si="1"/>
        <v>79.099999999999994</v>
      </c>
      <c r="U58" s="52"/>
      <c r="V58" s="52"/>
      <c r="W58" s="52"/>
    </row>
    <row r="59" spans="1:23">
      <c r="A59" s="69">
        <v>31716</v>
      </c>
      <c r="B59" s="77">
        <v>48.1</v>
      </c>
      <c r="C59" s="77">
        <v>43.9</v>
      </c>
      <c r="D59" s="78">
        <v>36.6</v>
      </c>
      <c r="E59" s="77">
        <v>53.9</v>
      </c>
      <c r="F59" s="77">
        <v>49.3</v>
      </c>
      <c r="G59" s="78">
        <v>41.2</v>
      </c>
      <c r="H59" s="77">
        <v>48.4</v>
      </c>
      <c r="I59" s="77">
        <v>44.2</v>
      </c>
      <c r="J59" s="78">
        <v>36.799999999999997</v>
      </c>
      <c r="K59" s="79">
        <v>47.4</v>
      </c>
      <c r="L59" s="79">
        <v>43.4</v>
      </c>
      <c r="M59" s="80">
        <v>36.200000000000003</v>
      </c>
      <c r="P59" s="39">
        <f>LARGE(A$8:A$748,5)</f>
        <v>42613</v>
      </c>
      <c r="Q59" s="63">
        <f t="shared" si="0"/>
        <v>90.8</v>
      </c>
      <c r="R59" s="63">
        <f t="shared" si="1"/>
        <v>85.8</v>
      </c>
      <c r="S59" s="54">
        <f t="shared" si="1"/>
        <v>82.6</v>
      </c>
      <c r="U59" s="52"/>
      <c r="V59" s="52"/>
      <c r="W59" s="52"/>
    </row>
    <row r="60" spans="1:23">
      <c r="A60" s="69">
        <v>31746</v>
      </c>
      <c r="B60" s="67">
        <v>48</v>
      </c>
      <c r="C60" s="67">
        <v>44.7</v>
      </c>
      <c r="D60" s="76">
        <v>36.9</v>
      </c>
      <c r="E60" s="67">
        <v>55.5</v>
      </c>
      <c r="F60" s="67">
        <v>51.8</v>
      </c>
      <c r="G60" s="76">
        <v>42.8</v>
      </c>
      <c r="H60" s="67">
        <v>47.3</v>
      </c>
      <c r="I60" s="67">
        <v>44.1</v>
      </c>
      <c r="J60" s="76">
        <v>36.299999999999997</v>
      </c>
      <c r="K60" s="68">
        <v>45.9</v>
      </c>
      <c r="L60" s="68">
        <v>42.9</v>
      </c>
      <c r="M60" s="70">
        <v>35.4</v>
      </c>
      <c r="P60" s="38">
        <f>LARGE(A$8:A$748,4)</f>
        <v>42643</v>
      </c>
      <c r="Q60" s="62">
        <f t="shared" si="0"/>
        <v>94</v>
      </c>
      <c r="R60" s="62">
        <f t="shared" si="1"/>
        <v>88.5</v>
      </c>
      <c r="S60" s="55">
        <f t="shared" si="1"/>
        <v>85.1</v>
      </c>
      <c r="U60" s="52"/>
      <c r="V60" s="52"/>
      <c r="W60" s="52"/>
    </row>
    <row r="61" spans="1:23">
      <c r="A61" s="69">
        <v>31777</v>
      </c>
      <c r="B61" s="77">
        <v>47.1</v>
      </c>
      <c r="C61" s="77">
        <v>44.6</v>
      </c>
      <c r="D61" s="78">
        <v>37</v>
      </c>
      <c r="E61" s="77">
        <v>54.5</v>
      </c>
      <c r="F61" s="77">
        <v>51.8</v>
      </c>
      <c r="G61" s="78">
        <v>43.1</v>
      </c>
      <c r="H61" s="77">
        <v>46.3</v>
      </c>
      <c r="I61" s="77">
        <v>43.9</v>
      </c>
      <c r="J61" s="78">
        <v>36.5</v>
      </c>
      <c r="K61" s="79">
        <v>45.2</v>
      </c>
      <c r="L61" s="79">
        <v>42.9</v>
      </c>
      <c r="M61" s="80">
        <v>35.700000000000003</v>
      </c>
      <c r="P61" s="39">
        <f>LARGE(A$8:A$748,3)</f>
        <v>42674</v>
      </c>
      <c r="Q61" s="63">
        <f t="shared" si="0"/>
        <v>96.8</v>
      </c>
      <c r="R61" s="63">
        <f t="shared" si="1"/>
        <v>92.5</v>
      </c>
      <c r="S61" s="54">
        <f t="shared" si="1"/>
        <v>87.9</v>
      </c>
      <c r="U61" s="52"/>
      <c r="V61" s="52"/>
      <c r="W61" s="52"/>
    </row>
    <row r="62" spans="1:23">
      <c r="A62" s="69">
        <v>31808</v>
      </c>
      <c r="B62" s="67">
        <v>47.5</v>
      </c>
      <c r="C62" s="67">
        <v>43.5</v>
      </c>
      <c r="D62" s="76">
        <v>37.4</v>
      </c>
      <c r="E62" s="67">
        <v>55.9</v>
      </c>
      <c r="F62" s="67">
        <v>51.2</v>
      </c>
      <c r="G62" s="76">
        <v>44.2</v>
      </c>
      <c r="H62" s="67">
        <v>46.3</v>
      </c>
      <c r="I62" s="67">
        <v>42.4</v>
      </c>
      <c r="J62" s="76">
        <v>36.5</v>
      </c>
      <c r="K62" s="68">
        <v>42.6</v>
      </c>
      <c r="L62" s="68">
        <v>39</v>
      </c>
      <c r="M62" s="70">
        <v>33.6</v>
      </c>
      <c r="P62" s="38">
        <f>LARGE(A$8:A$748,2)</f>
        <v>42704</v>
      </c>
      <c r="Q62" s="62">
        <f t="shared" si="0"/>
        <v>107.1</v>
      </c>
      <c r="R62" s="62">
        <f t="shared" si="1"/>
        <v>102.3</v>
      </c>
      <c r="S62" s="55">
        <f t="shared" si="1"/>
        <v>96.2</v>
      </c>
      <c r="U62" s="52"/>
      <c r="V62" s="52"/>
      <c r="W62" s="52"/>
    </row>
    <row r="63" spans="1:23" ht="15.75" thickBot="1">
      <c r="A63" s="69">
        <v>31836</v>
      </c>
      <c r="B63" s="77">
        <v>48.8</v>
      </c>
      <c r="C63" s="77">
        <v>44.7</v>
      </c>
      <c r="D63" s="78">
        <v>38.799999999999997</v>
      </c>
      <c r="E63" s="77">
        <v>58.1</v>
      </c>
      <c r="F63" s="77">
        <v>53.3</v>
      </c>
      <c r="G63" s="78">
        <v>46.4</v>
      </c>
      <c r="H63" s="77">
        <v>47.3</v>
      </c>
      <c r="I63" s="77">
        <v>43.2</v>
      </c>
      <c r="J63" s="78">
        <v>37.5</v>
      </c>
      <c r="K63" s="79">
        <v>47.7</v>
      </c>
      <c r="L63" s="79">
        <v>43.7</v>
      </c>
      <c r="M63" s="80">
        <v>38</v>
      </c>
      <c r="P63" s="42">
        <f>LARGE(A$8:A$748,1)</f>
        <v>42735</v>
      </c>
      <c r="Q63" s="64">
        <f t="shared" si="0"/>
        <v>120.1</v>
      </c>
      <c r="R63" s="64">
        <f t="shared" si="1"/>
        <v>113.5</v>
      </c>
      <c r="S63" s="56">
        <f t="shared" si="1"/>
        <v>105.2</v>
      </c>
      <c r="U63" s="52"/>
      <c r="V63" s="52"/>
      <c r="W63" s="52"/>
    </row>
    <row r="64" spans="1:23">
      <c r="A64" s="69">
        <v>31867</v>
      </c>
      <c r="B64" s="67">
        <v>48.7</v>
      </c>
      <c r="C64" s="67">
        <v>45.6</v>
      </c>
      <c r="D64" s="76">
        <v>39.9</v>
      </c>
      <c r="E64" s="67">
        <v>59.1</v>
      </c>
      <c r="F64" s="67">
        <v>55.6</v>
      </c>
      <c r="G64" s="76">
        <v>48.7</v>
      </c>
      <c r="H64" s="67">
        <v>46.4</v>
      </c>
      <c r="I64" s="67">
        <v>43.5</v>
      </c>
      <c r="J64" s="76">
        <v>38</v>
      </c>
      <c r="K64" s="68">
        <v>48.6</v>
      </c>
      <c r="L64" s="68">
        <v>45.7</v>
      </c>
      <c r="M64" s="70">
        <v>40</v>
      </c>
    </row>
    <row r="65" spans="1:13">
      <c r="A65" s="69">
        <v>31897</v>
      </c>
      <c r="B65" s="77">
        <v>47.6</v>
      </c>
      <c r="C65" s="77">
        <v>45.4</v>
      </c>
      <c r="D65" s="78">
        <v>40.4</v>
      </c>
      <c r="E65" s="77">
        <v>58.9</v>
      </c>
      <c r="F65" s="77">
        <v>56.3</v>
      </c>
      <c r="G65" s="78">
        <v>50.2</v>
      </c>
      <c r="H65" s="77">
        <v>44.8</v>
      </c>
      <c r="I65" s="77">
        <v>42.8</v>
      </c>
      <c r="J65" s="78">
        <v>38</v>
      </c>
      <c r="K65" s="79">
        <v>48.6</v>
      </c>
      <c r="L65" s="79">
        <v>46.4</v>
      </c>
      <c r="M65" s="80">
        <v>41.3</v>
      </c>
    </row>
    <row r="66" spans="1:13">
      <c r="A66" s="69">
        <v>31928</v>
      </c>
      <c r="B66" s="67">
        <v>48.1</v>
      </c>
      <c r="C66" s="67">
        <v>45.6</v>
      </c>
      <c r="D66" s="76">
        <v>40.9</v>
      </c>
      <c r="E66" s="67">
        <v>59.7</v>
      </c>
      <c r="F66" s="67">
        <v>56.8</v>
      </c>
      <c r="G66" s="76">
        <v>51.1</v>
      </c>
      <c r="H66" s="67">
        <v>45.1</v>
      </c>
      <c r="I66" s="67">
        <v>42.8</v>
      </c>
      <c r="J66" s="76">
        <v>38.4</v>
      </c>
      <c r="K66" s="68">
        <v>51.2</v>
      </c>
      <c r="L66" s="68">
        <v>48.7</v>
      </c>
      <c r="M66" s="70">
        <v>43.8</v>
      </c>
    </row>
    <row r="67" spans="1:13">
      <c r="A67" s="69">
        <v>31958</v>
      </c>
      <c r="B67" s="77">
        <v>47.3</v>
      </c>
      <c r="C67" s="77">
        <v>45.7</v>
      </c>
      <c r="D67" s="78">
        <v>40.5</v>
      </c>
      <c r="E67" s="77">
        <v>58.2</v>
      </c>
      <c r="F67" s="77">
        <v>56.3</v>
      </c>
      <c r="G67" s="78">
        <v>50</v>
      </c>
      <c r="H67" s="77">
        <v>44.7</v>
      </c>
      <c r="I67" s="77">
        <v>43.2</v>
      </c>
      <c r="J67" s="78">
        <v>38.299999999999997</v>
      </c>
      <c r="K67" s="79">
        <v>51</v>
      </c>
      <c r="L67" s="79">
        <v>49.4</v>
      </c>
      <c r="M67" s="80">
        <v>43.8</v>
      </c>
    </row>
    <row r="68" spans="1:13">
      <c r="A68" s="69">
        <v>31989</v>
      </c>
      <c r="B68" s="67">
        <v>47.9</v>
      </c>
      <c r="C68" s="67">
        <v>46.4</v>
      </c>
      <c r="D68" s="76">
        <v>40.5</v>
      </c>
      <c r="E68" s="67">
        <v>57.8</v>
      </c>
      <c r="F68" s="67">
        <v>56.1</v>
      </c>
      <c r="G68" s="76">
        <v>49.1</v>
      </c>
      <c r="H68" s="67">
        <v>46</v>
      </c>
      <c r="I68" s="67">
        <v>44.4</v>
      </c>
      <c r="J68" s="76">
        <v>38.799999999999997</v>
      </c>
      <c r="K68" s="68">
        <v>57.2</v>
      </c>
      <c r="L68" s="68">
        <v>55.4</v>
      </c>
      <c r="M68" s="70">
        <v>48.5</v>
      </c>
    </row>
    <row r="69" spans="1:13">
      <c r="A69" s="69">
        <v>32020</v>
      </c>
      <c r="B69" s="77">
        <v>49.8</v>
      </c>
      <c r="C69" s="77">
        <v>48.1</v>
      </c>
      <c r="D69" s="78">
        <v>42</v>
      </c>
      <c r="E69" s="77">
        <v>61.8</v>
      </c>
      <c r="F69" s="77">
        <v>59.9</v>
      </c>
      <c r="G69" s="78">
        <v>52.4</v>
      </c>
      <c r="H69" s="77">
        <v>46.8</v>
      </c>
      <c r="I69" s="77">
        <v>45.2</v>
      </c>
      <c r="J69" s="78">
        <v>39.4</v>
      </c>
      <c r="K69" s="79">
        <v>60.7</v>
      </c>
      <c r="L69" s="79">
        <v>58.8</v>
      </c>
      <c r="M69" s="80">
        <v>51.4</v>
      </c>
    </row>
    <row r="70" spans="1:13">
      <c r="A70" s="69">
        <v>32050</v>
      </c>
      <c r="B70" s="67">
        <v>48.2</v>
      </c>
      <c r="C70" s="67">
        <v>47</v>
      </c>
      <c r="D70" s="76">
        <v>41.8</v>
      </c>
      <c r="E70" s="67">
        <v>60.6</v>
      </c>
      <c r="F70" s="67">
        <v>59.2</v>
      </c>
      <c r="G70" s="76">
        <v>52.7</v>
      </c>
      <c r="H70" s="67">
        <v>45</v>
      </c>
      <c r="I70" s="67">
        <v>43.8</v>
      </c>
      <c r="J70" s="76">
        <v>39</v>
      </c>
      <c r="K70" s="68">
        <v>57.5</v>
      </c>
      <c r="L70" s="68">
        <v>56.1</v>
      </c>
      <c r="M70" s="70">
        <v>50</v>
      </c>
    </row>
    <row r="71" spans="1:13">
      <c r="A71" s="69">
        <v>32081</v>
      </c>
      <c r="B71" s="77">
        <v>50.1</v>
      </c>
      <c r="C71" s="77">
        <v>47.9</v>
      </c>
      <c r="D71" s="78">
        <v>42.7</v>
      </c>
      <c r="E71" s="77">
        <v>63.4</v>
      </c>
      <c r="F71" s="77">
        <v>60.8</v>
      </c>
      <c r="G71" s="78">
        <v>54.2</v>
      </c>
      <c r="H71" s="77">
        <v>46.4</v>
      </c>
      <c r="I71" s="77">
        <v>44.4</v>
      </c>
      <c r="J71" s="78">
        <v>39.5</v>
      </c>
      <c r="K71" s="79">
        <v>63.7</v>
      </c>
      <c r="L71" s="79">
        <v>61</v>
      </c>
      <c r="M71" s="80">
        <v>54.4</v>
      </c>
    </row>
    <row r="72" spans="1:13">
      <c r="A72" s="69">
        <v>32111</v>
      </c>
      <c r="B72" s="67">
        <v>52</v>
      </c>
      <c r="C72" s="67">
        <v>46</v>
      </c>
      <c r="D72" s="76">
        <v>42.6</v>
      </c>
      <c r="E72" s="67">
        <v>66.900000000000006</v>
      </c>
      <c r="F72" s="67">
        <v>59.3</v>
      </c>
      <c r="G72" s="76">
        <v>55</v>
      </c>
      <c r="H72" s="67">
        <v>47.7</v>
      </c>
      <c r="I72" s="67">
        <v>42.1</v>
      </c>
      <c r="J72" s="76">
        <v>39</v>
      </c>
      <c r="K72" s="68">
        <v>63.7</v>
      </c>
      <c r="L72" s="68">
        <v>56.4</v>
      </c>
      <c r="M72" s="70">
        <v>52.3</v>
      </c>
    </row>
    <row r="73" spans="1:13">
      <c r="A73" s="69">
        <v>32142</v>
      </c>
      <c r="B73" s="77">
        <v>52.4</v>
      </c>
      <c r="C73" s="77">
        <v>46.7</v>
      </c>
      <c r="D73" s="78">
        <v>44.4</v>
      </c>
      <c r="E73" s="77">
        <v>68</v>
      </c>
      <c r="F73" s="77">
        <v>60.8</v>
      </c>
      <c r="G73" s="78">
        <v>57.9</v>
      </c>
      <c r="H73" s="77">
        <v>47.7</v>
      </c>
      <c r="I73" s="77">
        <v>42.5</v>
      </c>
      <c r="J73" s="78">
        <v>40.4</v>
      </c>
      <c r="K73" s="79">
        <v>67.7</v>
      </c>
      <c r="L73" s="79">
        <v>60.5</v>
      </c>
      <c r="M73" s="80">
        <v>57.6</v>
      </c>
    </row>
    <row r="74" spans="1:13">
      <c r="A74" s="69">
        <v>32173</v>
      </c>
      <c r="B74" s="67">
        <v>53.2</v>
      </c>
      <c r="C74" s="67">
        <v>47.5</v>
      </c>
      <c r="D74" s="76">
        <v>45.2</v>
      </c>
      <c r="E74" s="67">
        <v>71</v>
      </c>
      <c r="F74" s="67">
        <v>63.5</v>
      </c>
      <c r="G74" s="76">
        <v>60.6</v>
      </c>
      <c r="H74" s="67">
        <v>47.3</v>
      </c>
      <c r="I74" s="67">
        <v>42.3</v>
      </c>
      <c r="J74" s="76">
        <v>40.200000000000003</v>
      </c>
      <c r="K74" s="68">
        <v>70.7</v>
      </c>
      <c r="L74" s="68">
        <v>63.3</v>
      </c>
      <c r="M74" s="70">
        <v>60.3</v>
      </c>
    </row>
    <row r="75" spans="1:13">
      <c r="A75" s="69">
        <v>32202</v>
      </c>
      <c r="B75" s="77">
        <v>54.4</v>
      </c>
      <c r="C75" s="77">
        <v>49.7</v>
      </c>
      <c r="D75" s="78">
        <v>46.4</v>
      </c>
      <c r="E75" s="77">
        <v>75.2</v>
      </c>
      <c r="F75" s="77">
        <v>68.8</v>
      </c>
      <c r="G75" s="78">
        <v>64.3</v>
      </c>
      <c r="H75" s="77">
        <v>47</v>
      </c>
      <c r="I75" s="77">
        <v>42.9</v>
      </c>
      <c r="J75" s="78">
        <v>40.1</v>
      </c>
      <c r="K75" s="79">
        <v>72.099999999999994</v>
      </c>
      <c r="L75" s="79">
        <v>65.900000000000006</v>
      </c>
      <c r="M75" s="80">
        <v>61.6</v>
      </c>
    </row>
    <row r="76" spans="1:13">
      <c r="A76" s="69">
        <v>32233</v>
      </c>
      <c r="B76" s="67">
        <v>54.7</v>
      </c>
      <c r="C76" s="67">
        <v>50.7</v>
      </c>
      <c r="D76" s="76">
        <v>47.8</v>
      </c>
      <c r="E76" s="67">
        <v>74.599999999999994</v>
      </c>
      <c r="F76" s="67">
        <v>69.3</v>
      </c>
      <c r="G76" s="76">
        <v>65.5</v>
      </c>
      <c r="H76" s="67">
        <v>47.8</v>
      </c>
      <c r="I76" s="67">
        <v>44.3</v>
      </c>
      <c r="J76" s="76">
        <v>41.8</v>
      </c>
      <c r="K76" s="68">
        <v>83.2</v>
      </c>
      <c r="L76" s="68">
        <v>77.2</v>
      </c>
      <c r="M76" s="70">
        <v>72.900000000000006</v>
      </c>
    </row>
    <row r="77" spans="1:13">
      <c r="A77" s="69">
        <v>32263</v>
      </c>
      <c r="B77" s="77">
        <v>54.9</v>
      </c>
      <c r="C77" s="77">
        <v>51.5</v>
      </c>
      <c r="D77" s="78">
        <v>49</v>
      </c>
      <c r="E77" s="77">
        <v>74.900000000000006</v>
      </c>
      <c r="F77" s="77">
        <v>70.400000000000006</v>
      </c>
      <c r="G77" s="78">
        <v>67.099999999999994</v>
      </c>
      <c r="H77" s="77">
        <v>48</v>
      </c>
      <c r="I77" s="77">
        <v>45</v>
      </c>
      <c r="J77" s="78">
        <v>42.8</v>
      </c>
      <c r="K77" s="79">
        <v>84.2</v>
      </c>
      <c r="L77" s="79">
        <v>79</v>
      </c>
      <c r="M77" s="80">
        <v>75.3</v>
      </c>
    </row>
    <row r="78" spans="1:13">
      <c r="A78" s="69">
        <v>32294</v>
      </c>
      <c r="B78" s="67">
        <v>54.4</v>
      </c>
      <c r="C78" s="67">
        <v>53.4</v>
      </c>
      <c r="D78" s="76">
        <v>50.6</v>
      </c>
      <c r="E78" s="67">
        <v>73.2</v>
      </c>
      <c r="F78" s="67">
        <v>71.900000000000006</v>
      </c>
      <c r="G78" s="76">
        <v>68.3</v>
      </c>
      <c r="H78" s="67">
        <v>48.1</v>
      </c>
      <c r="I78" s="67">
        <v>47.2</v>
      </c>
      <c r="J78" s="76">
        <v>44.7</v>
      </c>
      <c r="K78" s="68">
        <v>89.8</v>
      </c>
      <c r="L78" s="68">
        <v>88.1</v>
      </c>
      <c r="M78" s="70">
        <v>83.6</v>
      </c>
    </row>
    <row r="79" spans="1:13">
      <c r="A79" s="69">
        <v>32324</v>
      </c>
      <c r="B79" s="77">
        <v>55.4</v>
      </c>
      <c r="C79" s="77">
        <v>57.6</v>
      </c>
      <c r="D79" s="78">
        <v>53.4</v>
      </c>
      <c r="E79" s="77">
        <v>75.2</v>
      </c>
      <c r="F79" s="77">
        <v>78.3</v>
      </c>
      <c r="G79" s="78">
        <v>72.8</v>
      </c>
      <c r="H79" s="77">
        <v>48.6</v>
      </c>
      <c r="I79" s="77">
        <v>50.5</v>
      </c>
      <c r="J79" s="78">
        <v>46.8</v>
      </c>
      <c r="K79" s="79">
        <v>98.3</v>
      </c>
      <c r="L79" s="79">
        <v>102.2</v>
      </c>
      <c r="M79" s="80">
        <v>95</v>
      </c>
    </row>
    <row r="80" spans="1:13">
      <c r="A80" s="69">
        <v>32355</v>
      </c>
      <c r="B80" s="67">
        <v>54.4</v>
      </c>
      <c r="C80" s="67">
        <v>57.7</v>
      </c>
      <c r="D80" s="76">
        <v>51.9</v>
      </c>
      <c r="E80" s="67">
        <v>78.400000000000006</v>
      </c>
      <c r="F80" s="67">
        <v>83.3</v>
      </c>
      <c r="G80" s="76">
        <v>75</v>
      </c>
      <c r="H80" s="67">
        <v>45.2</v>
      </c>
      <c r="I80" s="67">
        <v>48</v>
      </c>
      <c r="J80" s="76">
        <v>43.1</v>
      </c>
      <c r="K80" s="68">
        <v>77.900000000000006</v>
      </c>
      <c r="L80" s="68">
        <v>82.7</v>
      </c>
      <c r="M80" s="70">
        <v>74.5</v>
      </c>
    </row>
    <row r="81" spans="1:13">
      <c r="A81" s="69">
        <v>32386</v>
      </c>
      <c r="B81" s="77">
        <v>53.3</v>
      </c>
      <c r="C81" s="77">
        <v>57.6</v>
      </c>
      <c r="D81" s="78">
        <v>51.2</v>
      </c>
      <c r="E81" s="77">
        <v>74.5</v>
      </c>
      <c r="F81" s="77">
        <v>80.8</v>
      </c>
      <c r="G81" s="78">
        <v>72</v>
      </c>
      <c r="H81" s="77">
        <v>45.6</v>
      </c>
      <c r="I81" s="77">
        <v>49.2</v>
      </c>
      <c r="J81" s="78">
        <v>43.8</v>
      </c>
      <c r="K81" s="79">
        <v>80.099999999999994</v>
      </c>
      <c r="L81" s="79">
        <v>86.7</v>
      </c>
      <c r="M81" s="80">
        <v>77.2</v>
      </c>
    </row>
    <row r="82" spans="1:13">
      <c r="A82" s="69">
        <v>32416</v>
      </c>
      <c r="B82" s="67">
        <v>53.1</v>
      </c>
      <c r="C82" s="67">
        <v>56.4</v>
      </c>
      <c r="D82" s="76">
        <v>50.2</v>
      </c>
      <c r="E82" s="67">
        <v>75.099999999999994</v>
      </c>
      <c r="F82" s="67">
        <v>80</v>
      </c>
      <c r="G82" s="76">
        <v>71.3</v>
      </c>
      <c r="H82" s="67">
        <v>44.9</v>
      </c>
      <c r="I82" s="67">
        <v>47.7</v>
      </c>
      <c r="J82" s="76">
        <v>42.5</v>
      </c>
      <c r="K82" s="68">
        <v>74.400000000000006</v>
      </c>
      <c r="L82" s="68">
        <v>79.2</v>
      </c>
      <c r="M82" s="70">
        <v>70.599999999999994</v>
      </c>
    </row>
    <row r="83" spans="1:13">
      <c r="A83" s="69">
        <v>32447</v>
      </c>
      <c r="B83" s="77">
        <v>52.5</v>
      </c>
      <c r="C83" s="77">
        <v>56</v>
      </c>
      <c r="D83" s="78">
        <v>50.7</v>
      </c>
      <c r="E83" s="77">
        <v>75.400000000000006</v>
      </c>
      <c r="F83" s="77">
        <v>80.5</v>
      </c>
      <c r="G83" s="78">
        <v>73.099999999999994</v>
      </c>
      <c r="H83" s="77">
        <v>43.9</v>
      </c>
      <c r="I83" s="77">
        <v>46.7</v>
      </c>
      <c r="J83" s="78">
        <v>42.3</v>
      </c>
      <c r="K83" s="79">
        <v>74.5</v>
      </c>
      <c r="L83" s="79">
        <v>79.5</v>
      </c>
      <c r="M83" s="80">
        <v>72.099999999999994</v>
      </c>
    </row>
    <row r="84" spans="1:13">
      <c r="A84" s="69">
        <v>32477</v>
      </c>
      <c r="B84" s="67">
        <v>50.6</v>
      </c>
      <c r="C84" s="67">
        <v>55</v>
      </c>
      <c r="D84" s="76">
        <v>51.3</v>
      </c>
      <c r="E84" s="67">
        <v>71.2</v>
      </c>
      <c r="F84" s="67">
        <v>77.5</v>
      </c>
      <c r="G84" s="76">
        <v>72.400000000000006</v>
      </c>
      <c r="H84" s="67">
        <v>43.1</v>
      </c>
      <c r="I84" s="67">
        <v>46.8</v>
      </c>
      <c r="J84" s="76">
        <v>43.6</v>
      </c>
      <c r="K84" s="68">
        <v>75.8</v>
      </c>
      <c r="L84" s="68">
        <v>82.4</v>
      </c>
      <c r="M84" s="70">
        <v>77</v>
      </c>
    </row>
    <row r="85" spans="1:13">
      <c r="A85" s="69">
        <v>32508</v>
      </c>
      <c r="B85" s="77">
        <v>51.1</v>
      </c>
      <c r="C85" s="77">
        <v>56.1</v>
      </c>
      <c r="D85" s="78">
        <v>52.3</v>
      </c>
      <c r="E85" s="77">
        <v>71</v>
      </c>
      <c r="F85" s="77">
        <v>78</v>
      </c>
      <c r="G85" s="78">
        <v>72.900000000000006</v>
      </c>
      <c r="H85" s="77">
        <v>44</v>
      </c>
      <c r="I85" s="77">
        <v>48.3</v>
      </c>
      <c r="J85" s="78">
        <v>45</v>
      </c>
      <c r="K85" s="79">
        <v>80</v>
      </c>
      <c r="L85" s="79">
        <v>87.8</v>
      </c>
      <c r="M85" s="80">
        <v>82.1</v>
      </c>
    </row>
    <row r="86" spans="1:13">
      <c r="A86" s="69">
        <v>32539</v>
      </c>
      <c r="B86" s="67">
        <v>50.6</v>
      </c>
      <c r="C86" s="67">
        <v>57.6</v>
      </c>
      <c r="D86" s="76">
        <v>52.5</v>
      </c>
      <c r="E86" s="67">
        <v>70.900000000000006</v>
      </c>
      <c r="F86" s="67">
        <v>80.7</v>
      </c>
      <c r="G86" s="76">
        <v>73.8</v>
      </c>
      <c r="H86" s="67">
        <v>43.3</v>
      </c>
      <c r="I86" s="67">
        <v>49.2</v>
      </c>
      <c r="J86" s="76">
        <v>44.8</v>
      </c>
      <c r="K86" s="68">
        <v>77.7</v>
      </c>
      <c r="L86" s="68">
        <v>88.4</v>
      </c>
      <c r="M86" s="70">
        <v>80.7</v>
      </c>
    </row>
    <row r="87" spans="1:13">
      <c r="A87" s="69">
        <v>32567</v>
      </c>
      <c r="B87" s="77">
        <v>50.7</v>
      </c>
      <c r="C87" s="77">
        <v>57.2</v>
      </c>
      <c r="D87" s="78">
        <v>51.8</v>
      </c>
      <c r="E87" s="77">
        <v>71.599999999999994</v>
      </c>
      <c r="F87" s="77">
        <v>80.900000000000006</v>
      </c>
      <c r="G87" s="78">
        <v>73.400000000000006</v>
      </c>
      <c r="H87" s="77">
        <v>43</v>
      </c>
      <c r="I87" s="77">
        <v>48.5</v>
      </c>
      <c r="J87" s="78">
        <v>44</v>
      </c>
      <c r="K87" s="79">
        <v>75.2</v>
      </c>
      <c r="L87" s="79">
        <v>84.9</v>
      </c>
      <c r="M87" s="80">
        <v>77</v>
      </c>
    </row>
    <row r="88" spans="1:13">
      <c r="A88" s="69">
        <v>32598</v>
      </c>
      <c r="B88" s="67">
        <v>53.1</v>
      </c>
      <c r="C88" s="67">
        <v>57.6</v>
      </c>
      <c r="D88" s="76">
        <v>51.8</v>
      </c>
      <c r="E88" s="67">
        <v>75.400000000000006</v>
      </c>
      <c r="F88" s="67">
        <v>81.900000000000006</v>
      </c>
      <c r="G88" s="76">
        <v>73.8</v>
      </c>
      <c r="H88" s="67">
        <v>44.8</v>
      </c>
      <c r="I88" s="67">
        <v>48.6</v>
      </c>
      <c r="J88" s="76">
        <v>43.7</v>
      </c>
      <c r="K88" s="68">
        <v>76.3</v>
      </c>
      <c r="L88" s="68">
        <v>82.8</v>
      </c>
      <c r="M88" s="70">
        <v>74.5</v>
      </c>
    </row>
    <row r="89" spans="1:13">
      <c r="A89" s="69">
        <v>32628</v>
      </c>
      <c r="B89" s="77">
        <v>54.1</v>
      </c>
      <c r="C89" s="77">
        <v>58</v>
      </c>
      <c r="D89" s="78">
        <v>51.9</v>
      </c>
      <c r="E89" s="77">
        <v>75.7</v>
      </c>
      <c r="F89" s="77">
        <v>81.400000000000006</v>
      </c>
      <c r="G89" s="78">
        <v>72.900000000000006</v>
      </c>
      <c r="H89" s="77">
        <v>46.2</v>
      </c>
      <c r="I89" s="77">
        <v>49.5</v>
      </c>
      <c r="J89" s="78">
        <v>44.3</v>
      </c>
      <c r="K89" s="79">
        <v>75.400000000000006</v>
      </c>
      <c r="L89" s="79">
        <v>80.900000000000006</v>
      </c>
      <c r="M89" s="80">
        <v>72.5</v>
      </c>
    </row>
    <row r="90" spans="1:13">
      <c r="A90" s="69">
        <v>32659</v>
      </c>
      <c r="B90" s="67">
        <v>55.9</v>
      </c>
      <c r="C90" s="67">
        <v>59</v>
      </c>
      <c r="D90" s="76">
        <v>51.5</v>
      </c>
      <c r="E90" s="67">
        <v>76.900000000000006</v>
      </c>
      <c r="F90" s="67">
        <v>81.400000000000006</v>
      </c>
      <c r="G90" s="76">
        <v>71.2</v>
      </c>
      <c r="H90" s="67">
        <v>48.4</v>
      </c>
      <c r="I90" s="67">
        <v>51.2</v>
      </c>
      <c r="J90" s="76">
        <v>44.7</v>
      </c>
      <c r="K90" s="68">
        <v>78.400000000000006</v>
      </c>
      <c r="L90" s="68">
        <v>82.9</v>
      </c>
      <c r="M90" s="70">
        <v>72.5</v>
      </c>
    </row>
    <row r="91" spans="1:13">
      <c r="A91" s="69">
        <v>32689</v>
      </c>
      <c r="B91" s="77">
        <v>56.2</v>
      </c>
      <c r="C91" s="77">
        <v>59.3</v>
      </c>
      <c r="D91" s="78">
        <v>50.7</v>
      </c>
      <c r="E91" s="77">
        <v>78.3</v>
      </c>
      <c r="F91" s="77">
        <v>82.8</v>
      </c>
      <c r="G91" s="78">
        <v>70.900000000000006</v>
      </c>
      <c r="H91" s="77">
        <v>48.2</v>
      </c>
      <c r="I91" s="77">
        <v>50.9</v>
      </c>
      <c r="J91" s="78">
        <v>43.5</v>
      </c>
      <c r="K91" s="79">
        <v>72</v>
      </c>
      <c r="L91" s="79">
        <v>76.099999999999994</v>
      </c>
      <c r="M91" s="80">
        <v>65.099999999999994</v>
      </c>
    </row>
    <row r="92" spans="1:13">
      <c r="A92" s="69">
        <v>32720</v>
      </c>
      <c r="B92" s="67">
        <v>56.2</v>
      </c>
      <c r="C92" s="67">
        <v>58.1</v>
      </c>
      <c r="D92" s="76">
        <v>50.7</v>
      </c>
      <c r="E92" s="67">
        <v>78.599999999999994</v>
      </c>
      <c r="F92" s="67">
        <v>81.400000000000006</v>
      </c>
      <c r="G92" s="76">
        <v>71.2</v>
      </c>
      <c r="H92" s="67">
        <v>48</v>
      </c>
      <c r="I92" s="67">
        <v>49.6</v>
      </c>
      <c r="J92" s="76">
        <v>43.3</v>
      </c>
      <c r="K92" s="68">
        <v>68.900000000000006</v>
      </c>
      <c r="L92" s="68">
        <v>71.400000000000006</v>
      </c>
      <c r="M92" s="70">
        <v>62.4</v>
      </c>
    </row>
    <row r="93" spans="1:13">
      <c r="A93" s="69">
        <v>32751</v>
      </c>
      <c r="B93" s="77">
        <v>56.1</v>
      </c>
      <c r="C93" s="77">
        <v>58.7</v>
      </c>
      <c r="D93" s="78">
        <v>51</v>
      </c>
      <c r="E93" s="77">
        <v>78.3</v>
      </c>
      <c r="F93" s="77">
        <v>82.1</v>
      </c>
      <c r="G93" s="78">
        <v>71.5</v>
      </c>
      <c r="H93" s="77">
        <v>48</v>
      </c>
      <c r="I93" s="77">
        <v>50.2</v>
      </c>
      <c r="J93" s="78">
        <v>43.7</v>
      </c>
      <c r="K93" s="79">
        <v>72</v>
      </c>
      <c r="L93" s="79">
        <v>75.400000000000006</v>
      </c>
      <c r="M93" s="80">
        <v>65.7</v>
      </c>
    </row>
    <row r="94" spans="1:13">
      <c r="A94" s="69">
        <v>32781</v>
      </c>
      <c r="B94" s="67">
        <v>55.4</v>
      </c>
      <c r="C94" s="67">
        <v>59.5</v>
      </c>
      <c r="D94" s="76">
        <v>51</v>
      </c>
      <c r="E94" s="67">
        <v>78.3</v>
      </c>
      <c r="F94" s="67">
        <v>84.3</v>
      </c>
      <c r="G94" s="76">
        <v>72.400000000000006</v>
      </c>
      <c r="H94" s="67">
        <v>47.1</v>
      </c>
      <c r="I94" s="67">
        <v>50.6</v>
      </c>
      <c r="J94" s="76">
        <v>43.3</v>
      </c>
      <c r="K94" s="68">
        <v>68.5</v>
      </c>
      <c r="L94" s="68">
        <v>73.7</v>
      </c>
      <c r="M94" s="70">
        <v>63.3</v>
      </c>
    </row>
    <row r="95" spans="1:13">
      <c r="A95" s="69">
        <v>32812</v>
      </c>
      <c r="B95" s="77">
        <v>56</v>
      </c>
      <c r="C95" s="77">
        <v>59.2</v>
      </c>
      <c r="D95" s="78">
        <v>51.8</v>
      </c>
      <c r="E95" s="77">
        <v>79.3</v>
      </c>
      <c r="F95" s="77">
        <v>83.8</v>
      </c>
      <c r="G95" s="78">
        <v>73.5</v>
      </c>
      <c r="H95" s="77">
        <v>47.6</v>
      </c>
      <c r="I95" s="77">
        <v>50.2</v>
      </c>
      <c r="J95" s="78">
        <v>43.9</v>
      </c>
      <c r="K95" s="79">
        <v>70.3</v>
      </c>
      <c r="L95" s="79">
        <v>74.3</v>
      </c>
      <c r="M95" s="80">
        <v>65.2</v>
      </c>
    </row>
    <row r="96" spans="1:13">
      <c r="A96" s="69">
        <v>32842</v>
      </c>
      <c r="B96" s="67">
        <v>55.8</v>
      </c>
      <c r="C96" s="67">
        <v>59.3</v>
      </c>
      <c r="D96" s="76">
        <v>52.1</v>
      </c>
      <c r="E96" s="67">
        <v>79.7</v>
      </c>
      <c r="F96" s="67">
        <v>84.9</v>
      </c>
      <c r="G96" s="76">
        <v>74.7</v>
      </c>
      <c r="H96" s="67">
        <v>47</v>
      </c>
      <c r="I96" s="67">
        <v>49.9</v>
      </c>
      <c r="J96" s="76">
        <v>43.9</v>
      </c>
      <c r="K96" s="68">
        <v>65.5</v>
      </c>
      <c r="L96" s="68">
        <v>69.599999999999994</v>
      </c>
      <c r="M96" s="70">
        <v>61.3</v>
      </c>
    </row>
    <row r="97" spans="1:13">
      <c r="A97" s="69">
        <v>32873</v>
      </c>
      <c r="B97" s="77">
        <v>55.3</v>
      </c>
      <c r="C97" s="77">
        <v>58</v>
      </c>
      <c r="D97" s="78">
        <v>51.9</v>
      </c>
      <c r="E97" s="77">
        <v>79.3</v>
      </c>
      <c r="F97" s="77">
        <v>83.2</v>
      </c>
      <c r="G97" s="78">
        <v>74.599999999999994</v>
      </c>
      <c r="H97" s="77">
        <v>46.6</v>
      </c>
      <c r="I97" s="77">
        <v>48.8</v>
      </c>
      <c r="J97" s="78">
        <v>43.6</v>
      </c>
      <c r="K97" s="79">
        <v>61.7</v>
      </c>
      <c r="L97" s="79">
        <v>64.7</v>
      </c>
      <c r="M97" s="80">
        <v>58</v>
      </c>
    </row>
    <row r="98" spans="1:13">
      <c r="A98" s="69">
        <v>32904</v>
      </c>
      <c r="B98" s="67">
        <v>55.3</v>
      </c>
      <c r="C98" s="67">
        <v>56.9</v>
      </c>
      <c r="D98" s="76">
        <v>51.7</v>
      </c>
      <c r="E98" s="67">
        <v>79</v>
      </c>
      <c r="F98" s="67">
        <v>81.400000000000006</v>
      </c>
      <c r="G98" s="76">
        <v>74.099999999999994</v>
      </c>
      <c r="H98" s="67">
        <v>46.6</v>
      </c>
      <c r="I98" s="67">
        <v>48</v>
      </c>
      <c r="J98" s="76">
        <v>43.5</v>
      </c>
      <c r="K98" s="68">
        <v>58.3</v>
      </c>
      <c r="L98" s="68">
        <v>60.1</v>
      </c>
      <c r="M98" s="70">
        <v>54.6</v>
      </c>
    </row>
    <row r="99" spans="1:13">
      <c r="A99" s="69">
        <v>32932</v>
      </c>
      <c r="B99" s="77">
        <v>55.9</v>
      </c>
      <c r="C99" s="77">
        <v>55.5</v>
      </c>
      <c r="D99" s="78">
        <v>50.6</v>
      </c>
      <c r="E99" s="77">
        <v>78</v>
      </c>
      <c r="F99" s="77">
        <v>77.5</v>
      </c>
      <c r="G99" s="78">
        <v>70.900000000000006</v>
      </c>
      <c r="H99" s="77">
        <v>47.9</v>
      </c>
      <c r="I99" s="77">
        <v>47.5</v>
      </c>
      <c r="J99" s="78">
        <v>43.4</v>
      </c>
      <c r="K99" s="79">
        <v>59.1</v>
      </c>
      <c r="L99" s="79">
        <v>58.7</v>
      </c>
      <c r="M99" s="80">
        <v>53.7</v>
      </c>
    </row>
    <row r="100" spans="1:13">
      <c r="A100" s="69">
        <v>32963</v>
      </c>
      <c r="B100" s="67">
        <v>56.5</v>
      </c>
      <c r="C100" s="67">
        <v>56.9</v>
      </c>
      <c r="D100" s="76">
        <v>51</v>
      </c>
      <c r="E100" s="67">
        <v>78.2</v>
      </c>
      <c r="F100" s="67">
        <v>78.900000000000006</v>
      </c>
      <c r="G100" s="76">
        <v>70.8</v>
      </c>
      <c r="H100" s="67">
        <v>48.7</v>
      </c>
      <c r="I100" s="67">
        <v>48.9</v>
      </c>
      <c r="J100" s="76">
        <v>43.9</v>
      </c>
      <c r="K100" s="68">
        <v>66.900000000000006</v>
      </c>
      <c r="L100" s="68">
        <v>67.3</v>
      </c>
      <c r="M100" s="70">
        <v>60.4</v>
      </c>
    </row>
    <row r="101" spans="1:13">
      <c r="A101" s="69">
        <v>32993</v>
      </c>
      <c r="B101" s="77">
        <v>56.2</v>
      </c>
      <c r="C101" s="77">
        <v>57.2</v>
      </c>
      <c r="D101" s="78">
        <v>51.2</v>
      </c>
      <c r="E101" s="77">
        <v>78.599999999999994</v>
      </c>
      <c r="F101" s="77">
        <v>80.2</v>
      </c>
      <c r="G101" s="78">
        <v>72</v>
      </c>
      <c r="H101" s="77">
        <v>48</v>
      </c>
      <c r="I101" s="77">
        <v>48.9</v>
      </c>
      <c r="J101" s="78">
        <v>43.8</v>
      </c>
      <c r="K101" s="79">
        <v>63.8</v>
      </c>
      <c r="L101" s="79">
        <v>65.099999999999994</v>
      </c>
      <c r="M101" s="80">
        <v>58.4</v>
      </c>
    </row>
    <row r="102" spans="1:13">
      <c r="A102" s="69">
        <v>33024</v>
      </c>
      <c r="B102" s="67">
        <v>56.1</v>
      </c>
      <c r="C102" s="67">
        <v>56.2</v>
      </c>
      <c r="D102" s="76">
        <v>51</v>
      </c>
      <c r="E102" s="67">
        <v>77.400000000000006</v>
      </c>
      <c r="F102" s="67">
        <v>77.7</v>
      </c>
      <c r="G102" s="76">
        <v>70.599999999999994</v>
      </c>
      <c r="H102" s="67">
        <v>48.4</v>
      </c>
      <c r="I102" s="67">
        <v>48.5</v>
      </c>
      <c r="J102" s="76">
        <v>43.9</v>
      </c>
      <c r="K102" s="68">
        <v>64.7</v>
      </c>
      <c r="L102" s="68">
        <v>65</v>
      </c>
      <c r="M102" s="70">
        <v>59</v>
      </c>
    </row>
    <row r="103" spans="1:13">
      <c r="A103" s="69">
        <v>33054</v>
      </c>
      <c r="B103" s="77">
        <v>53.2</v>
      </c>
      <c r="C103" s="77">
        <v>54.6</v>
      </c>
      <c r="D103" s="78">
        <v>49.4</v>
      </c>
      <c r="E103" s="77">
        <v>70.900000000000006</v>
      </c>
      <c r="F103" s="77">
        <v>72.900000000000006</v>
      </c>
      <c r="G103" s="78">
        <v>66</v>
      </c>
      <c r="H103" s="77">
        <v>46.9</v>
      </c>
      <c r="I103" s="77">
        <v>48.1</v>
      </c>
      <c r="J103" s="78">
        <v>43.5</v>
      </c>
      <c r="K103" s="79">
        <v>63.4</v>
      </c>
      <c r="L103" s="79">
        <v>65.2</v>
      </c>
      <c r="M103" s="80">
        <v>59.1</v>
      </c>
    </row>
    <row r="104" spans="1:13">
      <c r="A104" s="69">
        <v>33085</v>
      </c>
      <c r="B104" s="67">
        <v>51.8</v>
      </c>
      <c r="C104" s="67">
        <v>53.1</v>
      </c>
      <c r="D104" s="76">
        <v>49</v>
      </c>
      <c r="E104" s="67">
        <v>66.099999999999994</v>
      </c>
      <c r="F104" s="67">
        <v>67.900000000000006</v>
      </c>
      <c r="G104" s="76">
        <v>62.8</v>
      </c>
      <c r="H104" s="67">
        <v>46.8</v>
      </c>
      <c r="I104" s="67">
        <v>48</v>
      </c>
      <c r="J104" s="76">
        <v>44.3</v>
      </c>
      <c r="K104" s="68">
        <v>63.2</v>
      </c>
      <c r="L104" s="68">
        <v>64.900000000000006</v>
      </c>
      <c r="M104" s="70">
        <v>60</v>
      </c>
    </row>
    <row r="105" spans="1:13">
      <c r="A105" s="69">
        <v>33116</v>
      </c>
      <c r="B105" s="77">
        <v>52.7</v>
      </c>
      <c r="C105" s="77">
        <v>53.7</v>
      </c>
      <c r="D105" s="78">
        <v>50.9</v>
      </c>
      <c r="E105" s="77">
        <v>64</v>
      </c>
      <c r="F105" s="77">
        <v>65.3</v>
      </c>
      <c r="G105" s="78">
        <v>62</v>
      </c>
      <c r="H105" s="77">
        <v>49</v>
      </c>
      <c r="I105" s="77">
        <v>49.9</v>
      </c>
      <c r="J105" s="78">
        <v>47.2</v>
      </c>
      <c r="K105" s="79">
        <v>68.099999999999994</v>
      </c>
      <c r="L105" s="79">
        <v>69.400000000000006</v>
      </c>
      <c r="M105" s="80">
        <v>65.900000000000006</v>
      </c>
    </row>
    <row r="106" spans="1:13">
      <c r="A106" s="69">
        <v>33146</v>
      </c>
      <c r="B106" s="67">
        <v>53.1</v>
      </c>
      <c r="C106" s="67">
        <v>54.6</v>
      </c>
      <c r="D106" s="76">
        <v>52.2</v>
      </c>
      <c r="E106" s="67">
        <v>62.7</v>
      </c>
      <c r="F106" s="67">
        <v>64.599999999999994</v>
      </c>
      <c r="G106" s="76">
        <v>61.9</v>
      </c>
      <c r="H106" s="67">
        <v>50</v>
      </c>
      <c r="I106" s="67">
        <v>51.4</v>
      </c>
      <c r="J106" s="76">
        <v>49.1</v>
      </c>
      <c r="K106" s="68">
        <v>72.900000000000006</v>
      </c>
      <c r="L106" s="68">
        <v>75</v>
      </c>
      <c r="M106" s="70">
        <v>71.900000000000006</v>
      </c>
    </row>
    <row r="107" spans="1:13">
      <c r="A107" s="69">
        <v>33177</v>
      </c>
      <c r="B107" s="77">
        <v>53.6</v>
      </c>
      <c r="C107" s="77">
        <v>52.3</v>
      </c>
      <c r="D107" s="78">
        <v>51.3</v>
      </c>
      <c r="E107" s="77">
        <v>62.3</v>
      </c>
      <c r="F107" s="77">
        <v>61</v>
      </c>
      <c r="G107" s="78">
        <v>60</v>
      </c>
      <c r="H107" s="77">
        <v>50.8</v>
      </c>
      <c r="I107" s="77">
        <v>49.6</v>
      </c>
      <c r="J107" s="78">
        <v>48.7</v>
      </c>
      <c r="K107" s="79">
        <v>69.3</v>
      </c>
      <c r="L107" s="79">
        <v>67.8</v>
      </c>
      <c r="M107" s="80">
        <v>66.599999999999994</v>
      </c>
    </row>
    <row r="108" spans="1:13">
      <c r="A108" s="69">
        <v>33207</v>
      </c>
      <c r="B108" s="67">
        <v>53.7</v>
      </c>
      <c r="C108" s="67">
        <v>49.9</v>
      </c>
      <c r="D108" s="76">
        <v>49.6</v>
      </c>
      <c r="E108" s="67">
        <v>63.8</v>
      </c>
      <c r="F108" s="67">
        <v>59.4</v>
      </c>
      <c r="G108" s="76">
        <v>59.2</v>
      </c>
      <c r="H108" s="67">
        <v>50.4</v>
      </c>
      <c r="I108" s="67">
        <v>46.8</v>
      </c>
      <c r="J108" s="76">
        <v>46.5</v>
      </c>
      <c r="K108" s="68">
        <v>62.2</v>
      </c>
      <c r="L108" s="68">
        <v>57.9</v>
      </c>
      <c r="M108" s="70">
        <v>57.6</v>
      </c>
    </row>
    <row r="109" spans="1:13">
      <c r="A109" s="69">
        <v>33238</v>
      </c>
      <c r="B109" s="77">
        <v>52.8</v>
      </c>
      <c r="C109" s="77">
        <v>49.4</v>
      </c>
      <c r="D109" s="78">
        <v>48.5</v>
      </c>
      <c r="E109" s="77">
        <v>64.3</v>
      </c>
      <c r="F109" s="77">
        <v>60.2</v>
      </c>
      <c r="G109" s="78">
        <v>59.3</v>
      </c>
      <c r="H109" s="77">
        <v>48.9</v>
      </c>
      <c r="I109" s="77">
        <v>45.8</v>
      </c>
      <c r="J109" s="78">
        <v>44.9</v>
      </c>
      <c r="K109" s="79">
        <v>59.2</v>
      </c>
      <c r="L109" s="79">
        <v>55.5</v>
      </c>
      <c r="M109" s="80">
        <v>54.6</v>
      </c>
    </row>
    <row r="110" spans="1:13">
      <c r="A110" s="69">
        <v>33269</v>
      </c>
      <c r="B110" s="67">
        <v>51.8</v>
      </c>
      <c r="C110" s="67">
        <v>49.2</v>
      </c>
      <c r="D110" s="76">
        <v>48.1</v>
      </c>
      <c r="E110" s="67">
        <v>63.1</v>
      </c>
      <c r="F110" s="67">
        <v>60.1</v>
      </c>
      <c r="G110" s="76">
        <v>58.9</v>
      </c>
      <c r="H110" s="67">
        <v>48</v>
      </c>
      <c r="I110" s="67">
        <v>45.6</v>
      </c>
      <c r="J110" s="76">
        <v>44.5</v>
      </c>
      <c r="K110" s="68">
        <v>57.9</v>
      </c>
      <c r="L110" s="68">
        <v>55.1</v>
      </c>
      <c r="M110" s="70">
        <v>53.9</v>
      </c>
    </row>
    <row r="111" spans="1:13">
      <c r="A111" s="69">
        <v>33297</v>
      </c>
      <c r="B111" s="77">
        <v>48.9</v>
      </c>
      <c r="C111" s="77">
        <v>46.1</v>
      </c>
      <c r="D111" s="78">
        <v>45.8</v>
      </c>
      <c r="E111" s="77">
        <v>55.5</v>
      </c>
      <c r="F111" s="77">
        <v>52.5</v>
      </c>
      <c r="G111" s="78">
        <v>52.2</v>
      </c>
      <c r="H111" s="77">
        <v>46.9</v>
      </c>
      <c r="I111" s="77">
        <v>44.2</v>
      </c>
      <c r="J111" s="78">
        <v>43.9</v>
      </c>
      <c r="K111" s="79">
        <v>56.5</v>
      </c>
      <c r="L111" s="79">
        <v>53.4</v>
      </c>
      <c r="M111" s="80">
        <v>53</v>
      </c>
    </row>
    <row r="112" spans="1:13">
      <c r="A112" s="69">
        <v>33328</v>
      </c>
      <c r="B112" s="67">
        <v>49.5</v>
      </c>
      <c r="C112" s="67">
        <v>47.8</v>
      </c>
      <c r="D112" s="76">
        <v>45.6</v>
      </c>
      <c r="E112" s="67">
        <v>56.8</v>
      </c>
      <c r="F112" s="67">
        <v>54.9</v>
      </c>
      <c r="G112" s="76">
        <v>52.5</v>
      </c>
      <c r="H112" s="67">
        <v>47.3</v>
      </c>
      <c r="I112" s="67">
        <v>45.6</v>
      </c>
      <c r="J112" s="76">
        <v>43.5</v>
      </c>
      <c r="K112" s="68">
        <v>58</v>
      </c>
      <c r="L112" s="68">
        <v>56.1</v>
      </c>
      <c r="M112" s="70">
        <v>53.6</v>
      </c>
    </row>
    <row r="113" spans="1:13">
      <c r="A113" s="69">
        <v>33358</v>
      </c>
      <c r="B113" s="77">
        <v>49.1</v>
      </c>
      <c r="C113" s="77">
        <v>49.1</v>
      </c>
      <c r="D113" s="78">
        <v>45.7</v>
      </c>
      <c r="E113" s="77">
        <v>56.8</v>
      </c>
      <c r="F113" s="77">
        <v>57</v>
      </c>
      <c r="G113" s="78">
        <v>53.1</v>
      </c>
      <c r="H113" s="77">
        <v>46.7</v>
      </c>
      <c r="I113" s="77">
        <v>46.7</v>
      </c>
      <c r="J113" s="78">
        <v>43.4</v>
      </c>
      <c r="K113" s="79">
        <v>55.2</v>
      </c>
      <c r="L113" s="79">
        <v>55.3</v>
      </c>
      <c r="M113" s="80">
        <v>51.5</v>
      </c>
    </row>
    <row r="114" spans="1:13">
      <c r="A114" s="69">
        <v>33389</v>
      </c>
      <c r="B114" s="67">
        <v>49.3</v>
      </c>
      <c r="C114" s="67">
        <v>49.3</v>
      </c>
      <c r="D114" s="76">
        <v>45.6</v>
      </c>
      <c r="E114" s="67">
        <v>59.7</v>
      </c>
      <c r="F114" s="67">
        <v>59.8</v>
      </c>
      <c r="G114" s="76">
        <v>55.4</v>
      </c>
      <c r="H114" s="67">
        <v>45.8</v>
      </c>
      <c r="I114" s="67">
        <v>45.8</v>
      </c>
      <c r="J114" s="76">
        <v>42.3</v>
      </c>
      <c r="K114" s="68">
        <v>51.5</v>
      </c>
      <c r="L114" s="68">
        <v>51.6</v>
      </c>
      <c r="M114" s="70">
        <v>47.8</v>
      </c>
    </row>
    <row r="115" spans="1:13">
      <c r="A115" s="69">
        <v>33419</v>
      </c>
      <c r="B115" s="77">
        <v>50.8</v>
      </c>
      <c r="C115" s="77">
        <v>50.6</v>
      </c>
      <c r="D115" s="78">
        <v>46</v>
      </c>
      <c r="E115" s="77">
        <v>62.3</v>
      </c>
      <c r="F115" s="77">
        <v>62.3</v>
      </c>
      <c r="G115" s="78">
        <v>56.7</v>
      </c>
      <c r="H115" s="77">
        <v>46.8</v>
      </c>
      <c r="I115" s="77">
        <v>46.7</v>
      </c>
      <c r="J115" s="78">
        <v>42.5</v>
      </c>
      <c r="K115" s="79">
        <v>51.7</v>
      </c>
      <c r="L115" s="79">
        <v>51.6</v>
      </c>
      <c r="M115" s="80">
        <v>47</v>
      </c>
    </row>
    <row r="116" spans="1:13">
      <c r="A116" s="69">
        <v>33450</v>
      </c>
      <c r="B116" s="67">
        <v>49.9</v>
      </c>
      <c r="C116" s="67">
        <v>50.5</v>
      </c>
      <c r="D116" s="76">
        <v>45.9</v>
      </c>
      <c r="E116" s="67">
        <v>61.2</v>
      </c>
      <c r="F116" s="67">
        <v>62</v>
      </c>
      <c r="G116" s="76">
        <v>56.5</v>
      </c>
      <c r="H116" s="67">
        <v>46.1</v>
      </c>
      <c r="I116" s="67">
        <v>46.7</v>
      </c>
      <c r="J116" s="76">
        <v>42.4</v>
      </c>
      <c r="K116" s="68">
        <v>51.4</v>
      </c>
      <c r="L116" s="68">
        <v>52</v>
      </c>
      <c r="M116" s="70">
        <v>47.4</v>
      </c>
    </row>
    <row r="117" spans="1:13">
      <c r="A117" s="69">
        <v>33481</v>
      </c>
      <c r="B117" s="77">
        <v>48.7</v>
      </c>
      <c r="C117" s="77">
        <v>49.5</v>
      </c>
      <c r="D117" s="78">
        <v>45.5</v>
      </c>
      <c r="E117" s="77">
        <v>59.2</v>
      </c>
      <c r="F117" s="77">
        <v>60.2</v>
      </c>
      <c r="G117" s="78">
        <v>55.4</v>
      </c>
      <c r="H117" s="77">
        <v>45.2</v>
      </c>
      <c r="I117" s="77">
        <v>45.9</v>
      </c>
      <c r="J117" s="78">
        <v>42.2</v>
      </c>
      <c r="K117" s="79">
        <v>49.4</v>
      </c>
      <c r="L117" s="79">
        <v>50.2</v>
      </c>
      <c r="M117" s="80">
        <v>46.2</v>
      </c>
    </row>
    <row r="118" spans="1:13">
      <c r="A118" s="69">
        <v>33511</v>
      </c>
      <c r="B118" s="67">
        <v>48</v>
      </c>
      <c r="C118" s="67">
        <v>48.8</v>
      </c>
      <c r="D118" s="76">
        <v>45.4</v>
      </c>
      <c r="E118" s="67">
        <v>58.8</v>
      </c>
      <c r="F118" s="67">
        <v>59.9</v>
      </c>
      <c r="G118" s="76">
        <v>55.8</v>
      </c>
      <c r="H118" s="67">
        <v>44.3</v>
      </c>
      <c r="I118" s="67">
        <v>45.1</v>
      </c>
      <c r="J118" s="76">
        <v>41.9</v>
      </c>
      <c r="K118" s="68">
        <v>47.7</v>
      </c>
      <c r="L118" s="68">
        <v>48.6</v>
      </c>
      <c r="M118" s="70">
        <v>45.3</v>
      </c>
    </row>
    <row r="119" spans="1:13">
      <c r="A119" s="69">
        <v>33542</v>
      </c>
      <c r="B119" s="77">
        <v>48.1</v>
      </c>
      <c r="C119" s="77">
        <v>48.6</v>
      </c>
      <c r="D119" s="78">
        <v>45.6</v>
      </c>
      <c r="E119" s="77">
        <v>59</v>
      </c>
      <c r="F119" s="77">
        <v>59.7</v>
      </c>
      <c r="G119" s="78">
        <v>56</v>
      </c>
      <c r="H119" s="77">
        <v>44.4</v>
      </c>
      <c r="I119" s="77">
        <v>44.9</v>
      </c>
      <c r="J119" s="78">
        <v>42.1</v>
      </c>
      <c r="K119" s="79">
        <v>46.1</v>
      </c>
      <c r="L119" s="79">
        <v>46.6</v>
      </c>
      <c r="M119" s="80">
        <v>43.8</v>
      </c>
    </row>
    <row r="120" spans="1:13">
      <c r="A120" s="69">
        <v>33572</v>
      </c>
      <c r="B120" s="67">
        <v>49.1</v>
      </c>
      <c r="C120" s="67">
        <v>48.3</v>
      </c>
      <c r="D120" s="76">
        <v>46</v>
      </c>
      <c r="E120" s="67">
        <v>61.3</v>
      </c>
      <c r="F120" s="67">
        <v>60.4</v>
      </c>
      <c r="G120" s="76">
        <v>57.7</v>
      </c>
      <c r="H120" s="67">
        <v>44.9</v>
      </c>
      <c r="I120" s="67">
        <v>44.2</v>
      </c>
      <c r="J120" s="76">
        <v>42.1</v>
      </c>
      <c r="K120" s="68">
        <v>46.5</v>
      </c>
      <c r="L120" s="68">
        <v>45.8</v>
      </c>
      <c r="M120" s="70">
        <v>43.7</v>
      </c>
    </row>
    <row r="121" spans="1:13">
      <c r="A121" s="69">
        <v>33603</v>
      </c>
      <c r="B121" s="77">
        <v>50.5</v>
      </c>
      <c r="C121" s="77">
        <v>48.1</v>
      </c>
      <c r="D121" s="78">
        <v>46.5</v>
      </c>
      <c r="E121" s="77">
        <v>64.099999999999994</v>
      </c>
      <c r="F121" s="77">
        <v>61.3</v>
      </c>
      <c r="G121" s="78">
        <v>59.3</v>
      </c>
      <c r="H121" s="77">
        <v>45.7</v>
      </c>
      <c r="I121" s="77">
        <v>43.6</v>
      </c>
      <c r="J121" s="78">
        <v>42.1</v>
      </c>
      <c r="K121" s="79">
        <v>46.3</v>
      </c>
      <c r="L121" s="79">
        <v>44.2</v>
      </c>
      <c r="M121" s="80">
        <v>42.7</v>
      </c>
    </row>
    <row r="122" spans="1:13">
      <c r="A122" s="69">
        <v>33634</v>
      </c>
      <c r="B122" s="67">
        <v>51.8</v>
      </c>
      <c r="C122" s="67">
        <v>47.6</v>
      </c>
      <c r="D122" s="76">
        <v>46.2</v>
      </c>
      <c r="E122" s="67">
        <v>66.2</v>
      </c>
      <c r="F122" s="67">
        <v>60.9</v>
      </c>
      <c r="G122" s="76">
        <v>59.3</v>
      </c>
      <c r="H122" s="67">
        <v>46.8</v>
      </c>
      <c r="I122" s="67">
        <v>43</v>
      </c>
      <c r="J122" s="76">
        <v>41.7</v>
      </c>
      <c r="K122" s="68">
        <v>49.4</v>
      </c>
      <c r="L122" s="68">
        <v>45.5</v>
      </c>
      <c r="M122" s="70">
        <v>44.2</v>
      </c>
    </row>
    <row r="123" spans="1:13">
      <c r="A123" s="69">
        <v>33663</v>
      </c>
      <c r="B123" s="77">
        <v>52.1</v>
      </c>
      <c r="C123" s="77">
        <v>48.8</v>
      </c>
      <c r="D123" s="78">
        <v>46.8</v>
      </c>
      <c r="E123" s="77">
        <v>67.7</v>
      </c>
      <c r="F123" s="77">
        <v>63.5</v>
      </c>
      <c r="G123" s="78">
        <v>60.9</v>
      </c>
      <c r="H123" s="77">
        <v>46.6</v>
      </c>
      <c r="I123" s="77">
        <v>43.7</v>
      </c>
      <c r="J123" s="78">
        <v>41.8</v>
      </c>
      <c r="K123" s="79">
        <v>51.7</v>
      </c>
      <c r="L123" s="79">
        <v>48.5</v>
      </c>
      <c r="M123" s="80">
        <v>46.5</v>
      </c>
    </row>
    <row r="124" spans="1:13">
      <c r="A124" s="69">
        <v>33694</v>
      </c>
      <c r="B124" s="67">
        <v>50.9</v>
      </c>
      <c r="C124" s="67">
        <v>49.1</v>
      </c>
      <c r="D124" s="76">
        <v>46.1</v>
      </c>
      <c r="E124" s="67">
        <v>65.900000000000006</v>
      </c>
      <c r="F124" s="67">
        <v>63.6</v>
      </c>
      <c r="G124" s="76">
        <v>59.9</v>
      </c>
      <c r="H124" s="67">
        <v>45.7</v>
      </c>
      <c r="I124" s="67">
        <v>44</v>
      </c>
      <c r="J124" s="76">
        <v>41.3</v>
      </c>
      <c r="K124" s="68">
        <v>51.9</v>
      </c>
      <c r="L124" s="68">
        <v>50</v>
      </c>
      <c r="M124" s="70">
        <v>47.1</v>
      </c>
    </row>
    <row r="125" spans="1:13">
      <c r="A125" s="69">
        <v>33724</v>
      </c>
      <c r="B125" s="77">
        <v>50</v>
      </c>
      <c r="C125" s="77">
        <v>48.3</v>
      </c>
      <c r="D125" s="78">
        <v>45.5</v>
      </c>
      <c r="E125" s="77">
        <v>64</v>
      </c>
      <c r="F125" s="77">
        <v>61.8</v>
      </c>
      <c r="G125" s="78">
        <v>58.5</v>
      </c>
      <c r="H125" s="77">
        <v>45.2</v>
      </c>
      <c r="I125" s="77">
        <v>43.6</v>
      </c>
      <c r="J125" s="78">
        <v>41.1</v>
      </c>
      <c r="K125" s="79">
        <v>52.9</v>
      </c>
      <c r="L125" s="79">
        <v>51.1</v>
      </c>
      <c r="M125" s="80">
        <v>48.2</v>
      </c>
    </row>
    <row r="126" spans="1:13">
      <c r="A126" s="69">
        <v>33755</v>
      </c>
      <c r="B126" s="67">
        <v>50.5</v>
      </c>
      <c r="C126" s="67">
        <v>47.7</v>
      </c>
      <c r="D126" s="76">
        <v>45.6</v>
      </c>
      <c r="E126" s="67">
        <v>63.7</v>
      </c>
      <c r="F126" s="67">
        <v>60.4</v>
      </c>
      <c r="G126" s="76">
        <v>57.7</v>
      </c>
      <c r="H126" s="67">
        <v>45.9</v>
      </c>
      <c r="I126" s="67">
        <v>43.4</v>
      </c>
      <c r="J126" s="76">
        <v>41.4</v>
      </c>
      <c r="K126" s="68">
        <v>53.3</v>
      </c>
      <c r="L126" s="68">
        <v>50.5</v>
      </c>
      <c r="M126" s="70">
        <v>48.2</v>
      </c>
    </row>
    <row r="127" spans="1:13">
      <c r="A127" s="69">
        <v>33785</v>
      </c>
      <c r="B127" s="77">
        <v>50.7</v>
      </c>
      <c r="C127" s="77">
        <v>47.1</v>
      </c>
      <c r="D127" s="78">
        <v>45.7</v>
      </c>
      <c r="E127" s="77">
        <v>63.4</v>
      </c>
      <c r="F127" s="77">
        <v>59.1</v>
      </c>
      <c r="G127" s="78">
        <v>57.4</v>
      </c>
      <c r="H127" s="77">
        <v>46.3</v>
      </c>
      <c r="I127" s="77">
        <v>43</v>
      </c>
      <c r="J127" s="78">
        <v>41.7</v>
      </c>
      <c r="K127" s="79">
        <v>53</v>
      </c>
      <c r="L127" s="79">
        <v>49.3</v>
      </c>
      <c r="M127" s="80">
        <v>47.9</v>
      </c>
    </row>
    <row r="128" spans="1:13">
      <c r="A128" s="69">
        <v>33816</v>
      </c>
      <c r="B128" s="67">
        <v>51.5</v>
      </c>
      <c r="C128" s="67">
        <v>46.1</v>
      </c>
      <c r="D128" s="76">
        <v>45.8</v>
      </c>
      <c r="E128" s="67">
        <v>62.5</v>
      </c>
      <c r="F128" s="67">
        <v>56.1</v>
      </c>
      <c r="G128" s="76">
        <v>55.8</v>
      </c>
      <c r="H128" s="67">
        <v>47.8</v>
      </c>
      <c r="I128" s="67">
        <v>42.8</v>
      </c>
      <c r="J128" s="76">
        <v>42.5</v>
      </c>
      <c r="K128" s="68">
        <v>56.1</v>
      </c>
      <c r="L128" s="68">
        <v>50.3</v>
      </c>
      <c r="M128" s="70">
        <v>50</v>
      </c>
    </row>
    <row r="129" spans="1:13">
      <c r="A129" s="69">
        <v>33847</v>
      </c>
      <c r="B129" s="77">
        <v>52.2</v>
      </c>
      <c r="C129" s="77">
        <v>45.1</v>
      </c>
      <c r="D129" s="78">
        <v>45.2</v>
      </c>
      <c r="E129" s="77">
        <v>62.9</v>
      </c>
      <c r="F129" s="77">
        <v>54.5</v>
      </c>
      <c r="G129" s="78">
        <v>54.7</v>
      </c>
      <c r="H129" s="77">
        <v>48.6</v>
      </c>
      <c r="I129" s="77">
        <v>42.1</v>
      </c>
      <c r="J129" s="78">
        <v>42.1</v>
      </c>
      <c r="K129" s="79">
        <v>57.7</v>
      </c>
      <c r="L129" s="79">
        <v>50</v>
      </c>
      <c r="M129" s="80">
        <v>50.1</v>
      </c>
    </row>
    <row r="130" spans="1:13">
      <c r="A130" s="69">
        <v>33877</v>
      </c>
      <c r="B130" s="67">
        <v>52.4</v>
      </c>
      <c r="C130" s="67">
        <v>45.1</v>
      </c>
      <c r="D130" s="76">
        <v>45.2</v>
      </c>
      <c r="E130" s="67">
        <v>64.2</v>
      </c>
      <c r="F130" s="67">
        <v>55.3</v>
      </c>
      <c r="G130" s="76">
        <v>55.6</v>
      </c>
      <c r="H130" s="67">
        <v>48.4</v>
      </c>
      <c r="I130" s="67">
        <v>41.6</v>
      </c>
      <c r="J130" s="76">
        <v>41.7</v>
      </c>
      <c r="K130" s="68">
        <v>56.3</v>
      </c>
      <c r="L130" s="68">
        <v>48.5</v>
      </c>
      <c r="M130" s="70">
        <v>48.7</v>
      </c>
    </row>
    <row r="131" spans="1:13">
      <c r="A131" s="69">
        <v>33908</v>
      </c>
      <c r="B131" s="77">
        <v>52.2</v>
      </c>
      <c r="C131" s="77">
        <v>45</v>
      </c>
      <c r="D131" s="78">
        <v>44.6</v>
      </c>
      <c r="E131" s="77">
        <v>64.099999999999994</v>
      </c>
      <c r="F131" s="77">
        <v>55.4</v>
      </c>
      <c r="G131" s="78">
        <v>54.9</v>
      </c>
      <c r="H131" s="77">
        <v>48.2</v>
      </c>
      <c r="I131" s="77">
        <v>41.6</v>
      </c>
      <c r="J131" s="78">
        <v>41.1</v>
      </c>
      <c r="K131" s="79">
        <v>52.1</v>
      </c>
      <c r="L131" s="79">
        <v>45</v>
      </c>
      <c r="M131" s="80">
        <v>44.6</v>
      </c>
    </row>
    <row r="132" spans="1:13">
      <c r="A132" s="69">
        <v>33938</v>
      </c>
      <c r="B132" s="67">
        <v>52.6</v>
      </c>
      <c r="C132" s="67">
        <v>45.4</v>
      </c>
      <c r="D132" s="76">
        <v>43.3</v>
      </c>
      <c r="E132" s="67">
        <v>64</v>
      </c>
      <c r="F132" s="67">
        <v>55.3</v>
      </c>
      <c r="G132" s="76">
        <v>52.9</v>
      </c>
      <c r="H132" s="67">
        <v>48.8</v>
      </c>
      <c r="I132" s="67">
        <v>42</v>
      </c>
      <c r="J132" s="76">
        <v>40.1</v>
      </c>
      <c r="K132" s="68">
        <v>51.7</v>
      </c>
      <c r="L132" s="68">
        <v>44.6</v>
      </c>
      <c r="M132" s="70">
        <v>42.7</v>
      </c>
    </row>
    <row r="133" spans="1:13">
      <c r="A133" s="69">
        <v>33969</v>
      </c>
      <c r="B133" s="77">
        <v>52.6</v>
      </c>
      <c r="C133" s="77">
        <v>45.3</v>
      </c>
      <c r="D133" s="78">
        <v>43.3</v>
      </c>
      <c r="E133" s="77">
        <v>63.9</v>
      </c>
      <c r="F133" s="77">
        <v>55.1</v>
      </c>
      <c r="G133" s="78">
        <v>52.8</v>
      </c>
      <c r="H133" s="77">
        <v>48.8</v>
      </c>
      <c r="I133" s="77">
        <v>42</v>
      </c>
      <c r="J133" s="78">
        <v>40.200000000000003</v>
      </c>
      <c r="K133" s="79">
        <v>53.3</v>
      </c>
      <c r="L133" s="79">
        <v>45.9</v>
      </c>
      <c r="M133" s="80">
        <v>44</v>
      </c>
    </row>
    <row r="134" spans="1:13">
      <c r="A134" s="69">
        <v>34000</v>
      </c>
      <c r="B134" s="67">
        <v>54.2</v>
      </c>
      <c r="C134" s="67">
        <v>46</v>
      </c>
      <c r="D134" s="76">
        <v>43.6</v>
      </c>
      <c r="E134" s="67">
        <v>67.2</v>
      </c>
      <c r="F134" s="67">
        <v>57.1</v>
      </c>
      <c r="G134" s="76">
        <v>54.3</v>
      </c>
      <c r="H134" s="67">
        <v>49.7</v>
      </c>
      <c r="I134" s="67">
        <v>42.2</v>
      </c>
      <c r="J134" s="76">
        <v>39.9</v>
      </c>
      <c r="K134" s="68">
        <v>54.7</v>
      </c>
      <c r="L134" s="68">
        <v>46.4</v>
      </c>
      <c r="M134" s="70">
        <v>44.1</v>
      </c>
    </row>
    <row r="135" spans="1:13">
      <c r="A135" s="69">
        <v>34028</v>
      </c>
      <c r="B135" s="77">
        <v>53.4</v>
      </c>
      <c r="C135" s="77">
        <v>46</v>
      </c>
      <c r="D135" s="78">
        <v>43.4</v>
      </c>
      <c r="E135" s="77">
        <v>65.2</v>
      </c>
      <c r="F135" s="77">
        <v>56.2</v>
      </c>
      <c r="G135" s="78">
        <v>53.2</v>
      </c>
      <c r="H135" s="77">
        <v>49.4</v>
      </c>
      <c r="I135" s="77">
        <v>42.5</v>
      </c>
      <c r="J135" s="78">
        <v>40.200000000000003</v>
      </c>
      <c r="K135" s="79">
        <v>53.6</v>
      </c>
      <c r="L135" s="79">
        <v>46.2</v>
      </c>
      <c r="M135" s="80">
        <v>43.7</v>
      </c>
    </row>
    <row r="136" spans="1:13">
      <c r="A136" s="69">
        <v>34059</v>
      </c>
      <c r="B136" s="67">
        <v>50.5</v>
      </c>
      <c r="C136" s="67">
        <v>44.9</v>
      </c>
      <c r="D136" s="76">
        <v>42.6</v>
      </c>
      <c r="E136" s="67">
        <v>61.4</v>
      </c>
      <c r="F136" s="67">
        <v>54.7</v>
      </c>
      <c r="G136" s="76">
        <v>52</v>
      </c>
      <c r="H136" s="67">
        <v>46.9</v>
      </c>
      <c r="I136" s="67">
        <v>41.6</v>
      </c>
      <c r="J136" s="76">
        <v>39.5</v>
      </c>
      <c r="K136" s="68">
        <v>49.5</v>
      </c>
      <c r="L136" s="68">
        <v>44</v>
      </c>
      <c r="M136" s="70">
        <v>41.9</v>
      </c>
    </row>
    <row r="137" spans="1:13">
      <c r="A137" s="69">
        <v>34089</v>
      </c>
      <c r="B137" s="77">
        <v>49.8</v>
      </c>
      <c r="C137" s="77">
        <v>43.6</v>
      </c>
      <c r="D137" s="78">
        <v>42.3</v>
      </c>
      <c r="E137" s="77">
        <v>62.4</v>
      </c>
      <c r="F137" s="77">
        <v>54.7</v>
      </c>
      <c r="G137" s="78">
        <v>53.2</v>
      </c>
      <c r="H137" s="77">
        <v>45.4</v>
      </c>
      <c r="I137" s="77">
        <v>39.700000000000003</v>
      </c>
      <c r="J137" s="78">
        <v>38.6</v>
      </c>
      <c r="K137" s="79">
        <v>47.4</v>
      </c>
      <c r="L137" s="79">
        <v>41.5</v>
      </c>
      <c r="M137" s="80">
        <v>40.4</v>
      </c>
    </row>
    <row r="138" spans="1:13">
      <c r="A138" s="69">
        <v>34120</v>
      </c>
      <c r="B138" s="67">
        <v>51</v>
      </c>
      <c r="C138" s="67">
        <v>43.6</v>
      </c>
      <c r="D138" s="76">
        <v>42.5</v>
      </c>
      <c r="E138" s="67">
        <v>64</v>
      </c>
      <c r="F138" s="67">
        <v>54.8</v>
      </c>
      <c r="G138" s="76">
        <v>53.5</v>
      </c>
      <c r="H138" s="67">
        <v>46.6</v>
      </c>
      <c r="I138" s="67">
        <v>39.799999999999997</v>
      </c>
      <c r="J138" s="76">
        <v>38.799999999999997</v>
      </c>
      <c r="K138" s="68">
        <v>47.8</v>
      </c>
      <c r="L138" s="68">
        <v>40.9</v>
      </c>
      <c r="M138" s="70">
        <v>39.9</v>
      </c>
    </row>
    <row r="139" spans="1:13">
      <c r="A139" s="69">
        <v>34150</v>
      </c>
      <c r="B139" s="77">
        <v>52.3</v>
      </c>
      <c r="C139" s="77">
        <v>43.4</v>
      </c>
      <c r="D139" s="78">
        <v>42.1</v>
      </c>
      <c r="E139" s="77">
        <v>65.099999999999994</v>
      </c>
      <c r="F139" s="77">
        <v>54.2</v>
      </c>
      <c r="G139" s="78">
        <v>52.7</v>
      </c>
      <c r="H139" s="77">
        <v>47.9</v>
      </c>
      <c r="I139" s="77">
        <v>39.700000000000003</v>
      </c>
      <c r="J139" s="78">
        <v>38.5</v>
      </c>
      <c r="K139" s="79">
        <v>50.5</v>
      </c>
      <c r="L139" s="79">
        <v>42</v>
      </c>
      <c r="M139" s="80">
        <v>40.799999999999997</v>
      </c>
    </row>
    <row r="140" spans="1:13">
      <c r="A140" s="69">
        <v>34181</v>
      </c>
      <c r="B140" s="67">
        <v>53</v>
      </c>
      <c r="C140" s="67">
        <v>44.7</v>
      </c>
      <c r="D140" s="76">
        <v>42.8</v>
      </c>
      <c r="E140" s="67">
        <v>66.099999999999994</v>
      </c>
      <c r="F140" s="67">
        <v>55.9</v>
      </c>
      <c r="G140" s="76">
        <v>53.6</v>
      </c>
      <c r="H140" s="67">
        <v>48.5</v>
      </c>
      <c r="I140" s="67">
        <v>40.9</v>
      </c>
      <c r="J140" s="76">
        <v>39.1</v>
      </c>
      <c r="K140" s="68">
        <v>51.4</v>
      </c>
      <c r="L140" s="68">
        <v>43.5</v>
      </c>
      <c r="M140" s="70">
        <v>41.7</v>
      </c>
    </row>
    <row r="141" spans="1:13">
      <c r="A141" s="69">
        <v>34212</v>
      </c>
      <c r="B141" s="77">
        <v>52.3</v>
      </c>
      <c r="C141" s="77">
        <v>43.9</v>
      </c>
      <c r="D141" s="78">
        <v>42.3</v>
      </c>
      <c r="E141" s="77">
        <v>65.3</v>
      </c>
      <c r="F141" s="77">
        <v>54.9</v>
      </c>
      <c r="G141" s="78">
        <v>53</v>
      </c>
      <c r="H141" s="77">
        <v>47.8</v>
      </c>
      <c r="I141" s="77">
        <v>40.200000000000003</v>
      </c>
      <c r="J141" s="78">
        <v>38.700000000000003</v>
      </c>
      <c r="K141" s="79">
        <v>50.3</v>
      </c>
      <c r="L141" s="79">
        <v>42.3</v>
      </c>
      <c r="M141" s="80">
        <v>40.799999999999997</v>
      </c>
    </row>
    <row r="142" spans="1:13">
      <c r="A142" s="69">
        <v>34242</v>
      </c>
      <c r="B142" s="67">
        <v>53.2</v>
      </c>
      <c r="C142" s="67">
        <v>42.5</v>
      </c>
      <c r="D142" s="76">
        <v>41.4</v>
      </c>
      <c r="E142" s="67">
        <v>67.2</v>
      </c>
      <c r="F142" s="67">
        <v>53.7</v>
      </c>
      <c r="G142" s="76">
        <v>52.4</v>
      </c>
      <c r="H142" s="67">
        <v>48.4</v>
      </c>
      <c r="I142" s="67">
        <v>38.6</v>
      </c>
      <c r="J142" s="76">
        <v>37.6</v>
      </c>
      <c r="K142" s="68">
        <v>50</v>
      </c>
      <c r="L142" s="68">
        <v>39.9</v>
      </c>
      <c r="M142" s="70">
        <v>39</v>
      </c>
    </row>
    <row r="143" spans="1:13">
      <c r="A143" s="69">
        <v>34273</v>
      </c>
      <c r="B143" s="77">
        <v>52.7</v>
      </c>
      <c r="C143" s="77">
        <v>42.9</v>
      </c>
      <c r="D143" s="78">
        <v>41.6</v>
      </c>
      <c r="E143" s="77">
        <v>66.8</v>
      </c>
      <c r="F143" s="77">
        <v>54.4</v>
      </c>
      <c r="G143" s="78">
        <v>52.8</v>
      </c>
      <c r="H143" s="77">
        <v>47.9</v>
      </c>
      <c r="I143" s="77">
        <v>38.9</v>
      </c>
      <c r="J143" s="78">
        <v>37.700000000000003</v>
      </c>
      <c r="K143" s="79">
        <v>47.9</v>
      </c>
      <c r="L143" s="79">
        <v>39</v>
      </c>
      <c r="M143" s="80">
        <v>37.9</v>
      </c>
    </row>
    <row r="144" spans="1:13">
      <c r="A144" s="69">
        <v>34303</v>
      </c>
      <c r="B144" s="67">
        <v>52.4</v>
      </c>
      <c r="C144" s="67">
        <v>43.4</v>
      </c>
      <c r="D144" s="76">
        <v>41.5</v>
      </c>
      <c r="E144" s="67">
        <v>66.900000000000006</v>
      </c>
      <c r="F144" s="67">
        <v>55.6</v>
      </c>
      <c r="G144" s="76">
        <v>53.2</v>
      </c>
      <c r="H144" s="67">
        <v>47.3</v>
      </c>
      <c r="I144" s="67">
        <v>39.200000000000003</v>
      </c>
      <c r="J144" s="76">
        <v>37.5</v>
      </c>
      <c r="K144" s="68">
        <v>46.3</v>
      </c>
      <c r="L144" s="68">
        <v>38.5</v>
      </c>
      <c r="M144" s="70">
        <v>36.9</v>
      </c>
    </row>
    <row r="145" spans="1:13">
      <c r="A145" s="69">
        <v>34334</v>
      </c>
      <c r="B145" s="77">
        <v>52.7</v>
      </c>
      <c r="C145" s="77">
        <v>44.4</v>
      </c>
      <c r="D145" s="78">
        <v>42.3</v>
      </c>
      <c r="E145" s="77">
        <v>68.099999999999994</v>
      </c>
      <c r="F145" s="77">
        <v>57.5</v>
      </c>
      <c r="G145" s="78">
        <v>54.9</v>
      </c>
      <c r="H145" s="77">
        <v>47.2</v>
      </c>
      <c r="I145" s="77">
        <v>39.799999999999997</v>
      </c>
      <c r="J145" s="78">
        <v>37.9</v>
      </c>
      <c r="K145" s="79">
        <v>48.6</v>
      </c>
      <c r="L145" s="79">
        <v>41</v>
      </c>
      <c r="M145" s="80">
        <v>39.1</v>
      </c>
    </row>
    <row r="146" spans="1:13">
      <c r="A146" s="69">
        <v>34365</v>
      </c>
      <c r="B146" s="67">
        <v>52.2</v>
      </c>
      <c r="C146" s="67">
        <v>45.8</v>
      </c>
      <c r="D146" s="76">
        <v>43.3</v>
      </c>
      <c r="E146" s="67">
        <v>67.599999999999994</v>
      </c>
      <c r="F146" s="67">
        <v>59.4</v>
      </c>
      <c r="G146" s="76">
        <v>56.3</v>
      </c>
      <c r="H146" s="67">
        <v>46.8</v>
      </c>
      <c r="I146" s="67">
        <v>41</v>
      </c>
      <c r="J146" s="76">
        <v>38.799999999999997</v>
      </c>
      <c r="K146" s="68">
        <v>49.9</v>
      </c>
      <c r="L146" s="68">
        <v>43.9</v>
      </c>
      <c r="M146" s="70">
        <v>41.5</v>
      </c>
    </row>
    <row r="147" spans="1:13">
      <c r="A147" s="69">
        <v>34393</v>
      </c>
      <c r="B147" s="77">
        <v>51.4</v>
      </c>
      <c r="C147" s="77">
        <v>46</v>
      </c>
      <c r="D147" s="78">
        <v>43.9</v>
      </c>
      <c r="E147" s="77">
        <v>67.5</v>
      </c>
      <c r="F147" s="77">
        <v>60.6</v>
      </c>
      <c r="G147" s="78">
        <v>57.9</v>
      </c>
      <c r="H147" s="77">
        <v>45.7</v>
      </c>
      <c r="I147" s="77">
        <v>40.9</v>
      </c>
      <c r="J147" s="78">
        <v>39</v>
      </c>
      <c r="K147" s="79">
        <v>51.3</v>
      </c>
      <c r="L147" s="79">
        <v>46</v>
      </c>
      <c r="M147" s="80">
        <v>44</v>
      </c>
    </row>
    <row r="148" spans="1:13">
      <c r="A148" s="69">
        <v>34424</v>
      </c>
      <c r="B148" s="67">
        <v>51.6</v>
      </c>
      <c r="C148" s="67">
        <v>45.4</v>
      </c>
      <c r="D148" s="76">
        <v>43.8</v>
      </c>
      <c r="E148" s="67">
        <v>68.8</v>
      </c>
      <c r="F148" s="67">
        <v>60.7</v>
      </c>
      <c r="G148" s="76">
        <v>58.6</v>
      </c>
      <c r="H148" s="67">
        <v>45.4</v>
      </c>
      <c r="I148" s="67">
        <v>40</v>
      </c>
      <c r="J148" s="76">
        <v>38.5</v>
      </c>
      <c r="K148" s="68">
        <v>51.8</v>
      </c>
      <c r="L148" s="68">
        <v>45.7</v>
      </c>
      <c r="M148" s="70">
        <v>44.1</v>
      </c>
    </row>
    <row r="149" spans="1:13">
      <c r="A149" s="69">
        <v>34454</v>
      </c>
      <c r="B149" s="77">
        <v>50.5</v>
      </c>
      <c r="C149" s="77">
        <v>44.6</v>
      </c>
      <c r="D149" s="78">
        <v>43.1</v>
      </c>
      <c r="E149" s="77">
        <v>67.7</v>
      </c>
      <c r="F149" s="77">
        <v>59.9</v>
      </c>
      <c r="G149" s="78">
        <v>58</v>
      </c>
      <c r="H149" s="77">
        <v>44.4</v>
      </c>
      <c r="I149" s="77">
        <v>39.200000000000003</v>
      </c>
      <c r="J149" s="78">
        <v>37.799999999999997</v>
      </c>
      <c r="K149" s="79">
        <v>51</v>
      </c>
      <c r="L149" s="79">
        <v>45.1</v>
      </c>
      <c r="M149" s="80">
        <v>43.7</v>
      </c>
    </row>
    <row r="150" spans="1:13">
      <c r="A150" s="69">
        <v>34485</v>
      </c>
      <c r="B150" s="67">
        <v>50.3</v>
      </c>
      <c r="C150" s="67">
        <v>44.6</v>
      </c>
      <c r="D150" s="76">
        <v>43.4</v>
      </c>
      <c r="E150" s="67">
        <v>67.400000000000006</v>
      </c>
      <c r="F150" s="67">
        <v>59.9</v>
      </c>
      <c r="G150" s="76">
        <v>58.4</v>
      </c>
      <c r="H150" s="67">
        <v>44.1</v>
      </c>
      <c r="I150" s="67">
        <v>39.1</v>
      </c>
      <c r="J150" s="76">
        <v>38.1</v>
      </c>
      <c r="K150" s="68">
        <v>53.4</v>
      </c>
      <c r="L150" s="68">
        <v>47.4</v>
      </c>
      <c r="M150" s="70">
        <v>46.2</v>
      </c>
    </row>
    <row r="151" spans="1:13">
      <c r="A151" s="69">
        <v>34515</v>
      </c>
      <c r="B151" s="77">
        <v>50.2</v>
      </c>
      <c r="C151" s="77">
        <v>44.7</v>
      </c>
      <c r="D151" s="78">
        <v>43.9</v>
      </c>
      <c r="E151" s="77">
        <v>66.400000000000006</v>
      </c>
      <c r="F151" s="77">
        <v>59.3</v>
      </c>
      <c r="G151" s="78">
        <v>58.3</v>
      </c>
      <c r="H151" s="77">
        <v>44.4</v>
      </c>
      <c r="I151" s="77">
        <v>39.6</v>
      </c>
      <c r="J151" s="78">
        <v>38.799999999999997</v>
      </c>
      <c r="K151" s="79">
        <v>56</v>
      </c>
      <c r="L151" s="79">
        <v>50</v>
      </c>
      <c r="M151" s="80">
        <v>49.1</v>
      </c>
    </row>
    <row r="152" spans="1:13">
      <c r="A152" s="69">
        <v>34546</v>
      </c>
      <c r="B152" s="67">
        <v>50.5</v>
      </c>
      <c r="C152" s="67">
        <v>44.1</v>
      </c>
      <c r="D152" s="76">
        <v>44.2</v>
      </c>
      <c r="E152" s="67">
        <v>65.900000000000006</v>
      </c>
      <c r="F152" s="67">
        <v>57.7</v>
      </c>
      <c r="G152" s="76">
        <v>58</v>
      </c>
      <c r="H152" s="67">
        <v>45</v>
      </c>
      <c r="I152" s="67">
        <v>39.299999999999997</v>
      </c>
      <c r="J152" s="76">
        <v>39.4</v>
      </c>
      <c r="K152" s="68">
        <v>58.9</v>
      </c>
      <c r="L152" s="68">
        <v>51.5</v>
      </c>
      <c r="M152" s="70">
        <v>51.8</v>
      </c>
    </row>
    <row r="153" spans="1:13">
      <c r="A153" s="69">
        <v>34577</v>
      </c>
      <c r="B153" s="77">
        <v>50.1</v>
      </c>
      <c r="C153" s="77">
        <v>44.3</v>
      </c>
      <c r="D153" s="78">
        <v>44.3</v>
      </c>
      <c r="E153" s="77">
        <v>67</v>
      </c>
      <c r="F153" s="77">
        <v>59.2</v>
      </c>
      <c r="G153" s="78">
        <v>59.4</v>
      </c>
      <c r="H153" s="77">
        <v>44.3</v>
      </c>
      <c r="I153" s="77">
        <v>39.1</v>
      </c>
      <c r="J153" s="78">
        <v>39.1</v>
      </c>
      <c r="K153" s="79">
        <v>57</v>
      </c>
      <c r="L153" s="79">
        <v>50.4</v>
      </c>
      <c r="M153" s="80">
        <v>50.5</v>
      </c>
    </row>
    <row r="154" spans="1:13">
      <c r="A154" s="69">
        <v>34607</v>
      </c>
      <c r="B154" s="67">
        <v>51.3</v>
      </c>
      <c r="C154" s="67">
        <v>45.1</v>
      </c>
      <c r="D154" s="76">
        <v>45.4</v>
      </c>
      <c r="E154" s="67">
        <v>69.8</v>
      </c>
      <c r="F154" s="67">
        <v>61.5</v>
      </c>
      <c r="G154" s="76">
        <v>62</v>
      </c>
      <c r="H154" s="67">
        <v>44.9</v>
      </c>
      <c r="I154" s="67">
        <v>39.4</v>
      </c>
      <c r="J154" s="76">
        <v>39.700000000000003</v>
      </c>
      <c r="K154" s="68">
        <v>60.9</v>
      </c>
      <c r="L154" s="68">
        <v>53.6</v>
      </c>
      <c r="M154" s="70">
        <v>54</v>
      </c>
    </row>
    <row r="155" spans="1:13">
      <c r="A155" s="69">
        <v>34638</v>
      </c>
      <c r="B155" s="77">
        <v>51.4</v>
      </c>
      <c r="C155" s="77">
        <v>44.6</v>
      </c>
      <c r="D155" s="78">
        <v>45.3</v>
      </c>
      <c r="E155" s="77">
        <v>68.599999999999994</v>
      </c>
      <c r="F155" s="77">
        <v>59.6</v>
      </c>
      <c r="G155" s="78">
        <v>60.6</v>
      </c>
      <c r="H155" s="77">
        <v>45.5</v>
      </c>
      <c r="I155" s="77">
        <v>39.4</v>
      </c>
      <c r="J155" s="78">
        <v>40</v>
      </c>
      <c r="K155" s="79">
        <v>64.900000000000006</v>
      </c>
      <c r="L155" s="79">
        <v>56.3</v>
      </c>
      <c r="M155" s="80">
        <v>57.3</v>
      </c>
    </row>
    <row r="156" spans="1:13">
      <c r="A156" s="69">
        <v>34668</v>
      </c>
      <c r="B156" s="67">
        <v>51.7</v>
      </c>
      <c r="C156" s="67">
        <v>45.9</v>
      </c>
      <c r="D156" s="76">
        <v>46.5</v>
      </c>
      <c r="E156" s="67">
        <v>69.7</v>
      </c>
      <c r="F156" s="67">
        <v>62</v>
      </c>
      <c r="G156" s="76">
        <v>62.9</v>
      </c>
      <c r="H156" s="67">
        <v>45.4</v>
      </c>
      <c r="I156" s="67">
        <v>40.299999999999997</v>
      </c>
      <c r="J156" s="76">
        <v>40.799999999999997</v>
      </c>
      <c r="K156" s="68">
        <v>70.099999999999994</v>
      </c>
      <c r="L156" s="68">
        <v>62.3</v>
      </c>
      <c r="M156" s="70">
        <v>63.2</v>
      </c>
    </row>
    <row r="157" spans="1:13">
      <c r="A157" s="69">
        <v>34699</v>
      </c>
      <c r="B157" s="77">
        <v>50.9</v>
      </c>
      <c r="C157" s="77">
        <v>47.1</v>
      </c>
      <c r="D157" s="78">
        <v>47</v>
      </c>
      <c r="E157" s="77">
        <v>69.099999999999994</v>
      </c>
      <c r="F157" s="77">
        <v>64</v>
      </c>
      <c r="G157" s="78">
        <v>64.099999999999994</v>
      </c>
      <c r="H157" s="77">
        <v>44.6</v>
      </c>
      <c r="I157" s="77">
        <v>41.2</v>
      </c>
      <c r="J157" s="78">
        <v>41.2</v>
      </c>
      <c r="K157" s="79">
        <v>69.2</v>
      </c>
      <c r="L157" s="79">
        <v>64</v>
      </c>
      <c r="M157" s="80">
        <v>64</v>
      </c>
    </row>
    <row r="158" spans="1:13">
      <c r="A158" s="69">
        <v>34730</v>
      </c>
      <c r="B158" s="67">
        <v>52.5</v>
      </c>
      <c r="C158" s="67">
        <v>47.6</v>
      </c>
      <c r="D158" s="76">
        <v>48</v>
      </c>
      <c r="E158" s="67">
        <v>70.2</v>
      </c>
      <c r="F158" s="67">
        <v>63.7</v>
      </c>
      <c r="G158" s="76">
        <v>64.400000000000006</v>
      </c>
      <c r="H158" s="67">
        <v>46.4</v>
      </c>
      <c r="I158" s="67">
        <v>42</v>
      </c>
      <c r="J158" s="76">
        <v>42.4</v>
      </c>
      <c r="K158" s="68">
        <v>75.400000000000006</v>
      </c>
      <c r="L158" s="68">
        <v>68.400000000000006</v>
      </c>
      <c r="M158" s="70">
        <v>69</v>
      </c>
    </row>
    <row r="159" spans="1:13">
      <c r="A159" s="69">
        <v>34758</v>
      </c>
      <c r="B159" s="77">
        <v>52.8</v>
      </c>
      <c r="C159" s="77">
        <v>46.2</v>
      </c>
      <c r="D159" s="78">
        <v>47</v>
      </c>
      <c r="E159" s="77">
        <v>72</v>
      </c>
      <c r="F159" s="77">
        <v>63.1</v>
      </c>
      <c r="G159" s="78">
        <v>64.3</v>
      </c>
      <c r="H159" s="77">
        <v>46.2</v>
      </c>
      <c r="I159" s="77">
        <v>40.4</v>
      </c>
      <c r="J159" s="78">
        <v>41.1</v>
      </c>
      <c r="K159" s="79">
        <v>71.099999999999994</v>
      </c>
      <c r="L159" s="79">
        <v>62.3</v>
      </c>
      <c r="M159" s="80">
        <v>63.4</v>
      </c>
    </row>
    <row r="160" spans="1:13">
      <c r="A160" s="69">
        <v>34789</v>
      </c>
      <c r="B160" s="67">
        <v>53.4</v>
      </c>
      <c r="C160" s="67">
        <v>44.4</v>
      </c>
      <c r="D160" s="76">
        <v>46.8</v>
      </c>
      <c r="E160" s="67">
        <v>73.3</v>
      </c>
      <c r="F160" s="67">
        <v>61</v>
      </c>
      <c r="G160" s="76">
        <v>64.5</v>
      </c>
      <c r="H160" s="67">
        <v>46.6</v>
      </c>
      <c r="I160" s="67">
        <v>38.700000000000003</v>
      </c>
      <c r="J160" s="76">
        <v>40.799999999999997</v>
      </c>
      <c r="K160" s="68">
        <v>69.3</v>
      </c>
      <c r="L160" s="68">
        <v>57.6</v>
      </c>
      <c r="M160" s="70">
        <v>60.9</v>
      </c>
    </row>
    <row r="161" spans="1:13">
      <c r="A161" s="69">
        <v>34819</v>
      </c>
      <c r="B161" s="77">
        <v>53.8</v>
      </c>
      <c r="C161" s="77">
        <v>43.6</v>
      </c>
      <c r="D161" s="78">
        <v>47.2</v>
      </c>
      <c r="E161" s="77">
        <v>71.099999999999994</v>
      </c>
      <c r="F161" s="77">
        <v>57.6</v>
      </c>
      <c r="G161" s="78">
        <v>62.6</v>
      </c>
      <c r="H161" s="77">
        <v>47.7</v>
      </c>
      <c r="I161" s="77">
        <v>38.6</v>
      </c>
      <c r="J161" s="78">
        <v>41.9</v>
      </c>
      <c r="K161" s="79">
        <v>70.3</v>
      </c>
      <c r="L161" s="79">
        <v>57</v>
      </c>
      <c r="M161" s="80">
        <v>61.9</v>
      </c>
    </row>
    <row r="162" spans="1:13">
      <c r="A162" s="69">
        <v>34850</v>
      </c>
      <c r="B162" s="67">
        <v>54.5</v>
      </c>
      <c r="C162" s="67">
        <v>44.2</v>
      </c>
      <c r="D162" s="76">
        <v>47.4</v>
      </c>
      <c r="E162" s="67">
        <v>72</v>
      </c>
      <c r="F162" s="67">
        <v>58.4</v>
      </c>
      <c r="G162" s="76">
        <v>62.7</v>
      </c>
      <c r="H162" s="67">
        <v>48.4</v>
      </c>
      <c r="I162" s="67">
        <v>39.200000000000003</v>
      </c>
      <c r="J162" s="76">
        <v>42</v>
      </c>
      <c r="K162" s="68">
        <v>68.400000000000006</v>
      </c>
      <c r="L162" s="68">
        <v>55.5</v>
      </c>
      <c r="M162" s="70">
        <v>59.6</v>
      </c>
    </row>
    <row r="163" spans="1:13">
      <c r="A163" s="69">
        <v>34880</v>
      </c>
      <c r="B163" s="77">
        <v>55.8</v>
      </c>
      <c r="C163" s="77">
        <v>44.5</v>
      </c>
      <c r="D163" s="78">
        <v>47.9</v>
      </c>
      <c r="E163" s="77">
        <v>73.7</v>
      </c>
      <c r="F163" s="77">
        <v>58.9</v>
      </c>
      <c r="G163" s="78">
        <v>63.5</v>
      </c>
      <c r="H163" s="77">
        <v>49.5</v>
      </c>
      <c r="I163" s="77">
        <v>39.5</v>
      </c>
      <c r="J163" s="78">
        <v>42.5</v>
      </c>
      <c r="K163" s="79">
        <v>71</v>
      </c>
      <c r="L163" s="79">
        <v>56.7</v>
      </c>
      <c r="M163" s="80">
        <v>61.1</v>
      </c>
    </row>
    <row r="164" spans="1:13">
      <c r="A164" s="69">
        <v>34911</v>
      </c>
      <c r="B164" s="67">
        <v>55.2</v>
      </c>
      <c r="C164" s="67">
        <v>44.6</v>
      </c>
      <c r="D164" s="76">
        <v>47.8</v>
      </c>
      <c r="E164" s="67">
        <v>71</v>
      </c>
      <c r="F164" s="67">
        <v>57.5</v>
      </c>
      <c r="G164" s="76">
        <v>61.8</v>
      </c>
      <c r="H164" s="67">
        <v>49.5</v>
      </c>
      <c r="I164" s="67">
        <v>40.1</v>
      </c>
      <c r="J164" s="76">
        <v>42.9</v>
      </c>
      <c r="K164" s="68">
        <v>73.5</v>
      </c>
      <c r="L164" s="68">
        <v>59.5</v>
      </c>
      <c r="M164" s="70">
        <v>63.9</v>
      </c>
    </row>
    <row r="165" spans="1:13">
      <c r="A165" s="69">
        <v>34942</v>
      </c>
      <c r="B165" s="77">
        <v>54.2</v>
      </c>
      <c r="C165" s="77">
        <v>46</v>
      </c>
      <c r="D165" s="78">
        <v>47.9</v>
      </c>
      <c r="E165" s="77">
        <v>69.400000000000006</v>
      </c>
      <c r="F165" s="77">
        <v>59.1</v>
      </c>
      <c r="G165" s="78">
        <v>61.6</v>
      </c>
      <c r="H165" s="77">
        <v>48.7</v>
      </c>
      <c r="I165" s="77">
        <v>41.4</v>
      </c>
      <c r="J165" s="78">
        <v>43.1</v>
      </c>
      <c r="K165" s="79">
        <v>72.599999999999994</v>
      </c>
      <c r="L165" s="79">
        <v>61.7</v>
      </c>
      <c r="M165" s="80">
        <v>64.3</v>
      </c>
    </row>
    <row r="166" spans="1:13">
      <c r="A166" s="69">
        <v>34972</v>
      </c>
      <c r="B166" s="67">
        <v>53.3</v>
      </c>
      <c r="C166" s="67">
        <v>47</v>
      </c>
      <c r="D166" s="76">
        <v>48</v>
      </c>
      <c r="E166" s="67">
        <v>68.3</v>
      </c>
      <c r="F166" s="67">
        <v>60.3</v>
      </c>
      <c r="G166" s="76">
        <v>61.7</v>
      </c>
      <c r="H166" s="67">
        <v>48</v>
      </c>
      <c r="I166" s="67">
        <v>42.3</v>
      </c>
      <c r="J166" s="76">
        <v>43.1</v>
      </c>
      <c r="K166" s="68">
        <v>67.2</v>
      </c>
      <c r="L166" s="68">
        <v>59.3</v>
      </c>
      <c r="M166" s="70">
        <v>60.6</v>
      </c>
    </row>
    <row r="167" spans="1:13">
      <c r="A167" s="69">
        <v>35003</v>
      </c>
      <c r="B167" s="77">
        <v>52.2</v>
      </c>
      <c r="C167" s="77">
        <v>45.8</v>
      </c>
      <c r="D167" s="78">
        <v>47.2</v>
      </c>
      <c r="E167" s="77">
        <v>67.099999999999994</v>
      </c>
      <c r="F167" s="77">
        <v>58.9</v>
      </c>
      <c r="G167" s="78">
        <v>60.9</v>
      </c>
      <c r="H167" s="77">
        <v>46.9</v>
      </c>
      <c r="I167" s="77">
        <v>41.1</v>
      </c>
      <c r="J167" s="78">
        <v>42.4</v>
      </c>
      <c r="K167" s="79">
        <v>64.599999999999994</v>
      </c>
      <c r="L167" s="79">
        <v>56.7</v>
      </c>
      <c r="M167" s="80">
        <v>58.6</v>
      </c>
    </row>
    <row r="168" spans="1:13">
      <c r="A168" s="69">
        <v>35033</v>
      </c>
      <c r="B168" s="67">
        <v>53.7</v>
      </c>
      <c r="C168" s="67">
        <v>46.4</v>
      </c>
      <c r="D168" s="76">
        <v>47.7</v>
      </c>
      <c r="E168" s="67">
        <v>68.599999999999994</v>
      </c>
      <c r="F168" s="67">
        <v>59.5</v>
      </c>
      <c r="G168" s="76">
        <v>61.3</v>
      </c>
      <c r="H168" s="67">
        <v>48.3</v>
      </c>
      <c r="I168" s="67">
        <v>41.7</v>
      </c>
      <c r="J168" s="76">
        <v>42.9</v>
      </c>
      <c r="K168" s="68">
        <v>67.3</v>
      </c>
      <c r="L168" s="68">
        <v>58.3</v>
      </c>
      <c r="M168" s="70">
        <v>60.1</v>
      </c>
    </row>
    <row r="169" spans="1:13">
      <c r="A169" s="69">
        <v>35064</v>
      </c>
      <c r="B169" s="77">
        <v>53.8</v>
      </c>
      <c r="C169" s="77">
        <v>46.6</v>
      </c>
      <c r="D169" s="78">
        <v>47.6</v>
      </c>
      <c r="E169" s="77">
        <v>68.5</v>
      </c>
      <c r="F169" s="77">
        <v>59.4</v>
      </c>
      <c r="G169" s="78">
        <v>60.9</v>
      </c>
      <c r="H169" s="77">
        <v>48.5</v>
      </c>
      <c r="I169" s="77">
        <v>42</v>
      </c>
      <c r="J169" s="78">
        <v>42.9</v>
      </c>
      <c r="K169" s="79">
        <v>67.099999999999994</v>
      </c>
      <c r="L169" s="79">
        <v>58.1</v>
      </c>
      <c r="M169" s="80">
        <v>59.5</v>
      </c>
    </row>
    <row r="170" spans="1:13">
      <c r="A170" s="69">
        <v>35095</v>
      </c>
      <c r="B170" s="67">
        <v>53.8</v>
      </c>
      <c r="C170" s="67">
        <v>47.1</v>
      </c>
      <c r="D170" s="76">
        <v>47.6</v>
      </c>
      <c r="E170" s="67">
        <v>67.8</v>
      </c>
      <c r="F170" s="67">
        <v>59.4</v>
      </c>
      <c r="G170" s="76">
        <v>60.2</v>
      </c>
      <c r="H170" s="67">
        <v>48.8</v>
      </c>
      <c r="I170" s="67">
        <v>42.7</v>
      </c>
      <c r="J170" s="76">
        <v>43.1</v>
      </c>
      <c r="K170" s="68">
        <v>63.8</v>
      </c>
      <c r="L170" s="68">
        <v>55.9</v>
      </c>
      <c r="M170" s="70">
        <v>56.6</v>
      </c>
    </row>
    <row r="171" spans="1:13">
      <c r="A171" s="69">
        <v>35124</v>
      </c>
      <c r="B171" s="77">
        <v>53</v>
      </c>
      <c r="C171" s="77">
        <v>47.4</v>
      </c>
      <c r="D171" s="78">
        <v>47.8</v>
      </c>
      <c r="E171" s="77">
        <v>66.400000000000006</v>
      </c>
      <c r="F171" s="77">
        <v>59.4</v>
      </c>
      <c r="G171" s="78">
        <v>60</v>
      </c>
      <c r="H171" s="77">
        <v>48.2</v>
      </c>
      <c r="I171" s="77">
        <v>43.1</v>
      </c>
      <c r="J171" s="78">
        <v>43.4</v>
      </c>
      <c r="K171" s="79">
        <v>63.4</v>
      </c>
      <c r="L171" s="79">
        <v>56.7</v>
      </c>
      <c r="M171" s="80">
        <v>57.3</v>
      </c>
    </row>
    <row r="172" spans="1:13">
      <c r="A172" s="69">
        <v>35155</v>
      </c>
      <c r="B172" s="67">
        <v>51.8</v>
      </c>
      <c r="C172" s="67">
        <v>47.4</v>
      </c>
      <c r="D172" s="76">
        <v>47.7</v>
      </c>
      <c r="E172" s="67">
        <v>64.099999999999994</v>
      </c>
      <c r="F172" s="67">
        <v>58.7</v>
      </c>
      <c r="G172" s="76">
        <v>59.2</v>
      </c>
      <c r="H172" s="67">
        <v>47.3</v>
      </c>
      <c r="I172" s="67">
        <v>43.3</v>
      </c>
      <c r="J172" s="76">
        <v>43.5</v>
      </c>
      <c r="K172" s="68">
        <v>63</v>
      </c>
      <c r="L172" s="68">
        <v>57.7</v>
      </c>
      <c r="M172" s="70">
        <v>58.1</v>
      </c>
    </row>
    <row r="173" spans="1:13">
      <c r="A173" s="69">
        <v>35185</v>
      </c>
      <c r="B173" s="77">
        <v>51.3</v>
      </c>
      <c r="C173" s="77">
        <v>48.3</v>
      </c>
      <c r="D173" s="78">
        <v>48.2</v>
      </c>
      <c r="E173" s="77">
        <v>64.099999999999994</v>
      </c>
      <c r="F173" s="77">
        <v>60.4</v>
      </c>
      <c r="G173" s="78">
        <v>60.4</v>
      </c>
      <c r="H173" s="77">
        <v>46.7</v>
      </c>
      <c r="I173" s="77">
        <v>43.9</v>
      </c>
      <c r="J173" s="78">
        <v>43.8</v>
      </c>
      <c r="K173" s="79">
        <v>61.1</v>
      </c>
      <c r="L173" s="79">
        <v>57.5</v>
      </c>
      <c r="M173" s="80">
        <v>57.5</v>
      </c>
    </row>
    <row r="174" spans="1:13">
      <c r="A174" s="69">
        <v>35216</v>
      </c>
      <c r="B174" s="67">
        <v>51</v>
      </c>
      <c r="C174" s="67">
        <v>48.7</v>
      </c>
      <c r="D174" s="76">
        <v>48.4</v>
      </c>
      <c r="E174" s="67">
        <v>64.8</v>
      </c>
      <c r="F174" s="67">
        <v>62.1</v>
      </c>
      <c r="G174" s="76">
        <v>61.8</v>
      </c>
      <c r="H174" s="67">
        <v>46</v>
      </c>
      <c r="I174" s="67">
        <v>44</v>
      </c>
      <c r="J174" s="76">
        <v>43.7</v>
      </c>
      <c r="K174" s="68">
        <v>60.9</v>
      </c>
      <c r="L174" s="68">
        <v>58.3</v>
      </c>
      <c r="M174" s="70">
        <v>58</v>
      </c>
    </row>
    <row r="175" spans="1:13">
      <c r="A175" s="69">
        <v>35246</v>
      </c>
      <c r="B175" s="77">
        <v>50.6</v>
      </c>
      <c r="C175" s="77">
        <v>48.2</v>
      </c>
      <c r="D175" s="78">
        <v>47.8</v>
      </c>
      <c r="E175" s="77">
        <v>64.099999999999994</v>
      </c>
      <c r="F175" s="77">
        <v>61</v>
      </c>
      <c r="G175" s="78">
        <v>60.7</v>
      </c>
      <c r="H175" s="77">
        <v>45.8</v>
      </c>
      <c r="I175" s="77">
        <v>43.6</v>
      </c>
      <c r="J175" s="78">
        <v>43.2</v>
      </c>
      <c r="K175" s="79">
        <v>56.4</v>
      </c>
      <c r="L175" s="79">
        <v>53.7</v>
      </c>
      <c r="M175" s="80">
        <v>53.4</v>
      </c>
    </row>
    <row r="176" spans="1:13">
      <c r="A176" s="69">
        <v>35277</v>
      </c>
      <c r="B176" s="67">
        <v>50.3</v>
      </c>
      <c r="C176" s="67">
        <v>47.5</v>
      </c>
      <c r="D176" s="76">
        <v>47.3</v>
      </c>
      <c r="E176" s="67">
        <v>62.9</v>
      </c>
      <c r="F176" s="67">
        <v>59.5</v>
      </c>
      <c r="G176" s="76">
        <v>59.5</v>
      </c>
      <c r="H176" s="67">
        <v>45.7</v>
      </c>
      <c r="I176" s="67">
        <v>43.1</v>
      </c>
      <c r="J176" s="76">
        <v>43</v>
      </c>
      <c r="K176" s="68">
        <v>54.7</v>
      </c>
      <c r="L176" s="68">
        <v>51.7</v>
      </c>
      <c r="M176" s="70">
        <v>51.6</v>
      </c>
    </row>
    <row r="177" spans="1:13">
      <c r="A177" s="69">
        <v>35308</v>
      </c>
      <c r="B177" s="77">
        <v>50.9</v>
      </c>
      <c r="C177" s="77">
        <v>47.4</v>
      </c>
      <c r="D177" s="78">
        <v>47.5</v>
      </c>
      <c r="E177" s="77">
        <v>63.4</v>
      </c>
      <c r="F177" s="77">
        <v>59.1</v>
      </c>
      <c r="G177" s="78">
        <v>59.5</v>
      </c>
      <c r="H177" s="77">
        <v>46.3</v>
      </c>
      <c r="I177" s="77">
        <v>43.1</v>
      </c>
      <c r="J177" s="78">
        <v>43.2</v>
      </c>
      <c r="K177" s="79">
        <v>55.6</v>
      </c>
      <c r="L177" s="79">
        <v>51.8</v>
      </c>
      <c r="M177" s="80">
        <v>52.1</v>
      </c>
    </row>
    <row r="178" spans="1:13">
      <c r="A178" s="69">
        <v>35338</v>
      </c>
      <c r="B178" s="67">
        <v>50</v>
      </c>
      <c r="C178" s="67">
        <v>47.5</v>
      </c>
      <c r="D178" s="76">
        <v>47.3</v>
      </c>
      <c r="E178" s="67">
        <v>61.4</v>
      </c>
      <c r="F178" s="67">
        <v>58.4</v>
      </c>
      <c r="G178" s="76">
        <v>58.3</v>
      </c>
      <c r="H178" s="67">
        <v>45.8</v>
      </c>
      <c r="I178" s="67">
        <v>43.4</v>
      </c>
      <c r="J178" s="76">
        <v>43.3</v>
      </c>
      <c r="K178" s="68">
        <v>53.3</v>
      </c>
      <c r="L178" s="68">
        <v>50.7</v>
      </c>
      <c r="M178" s="70">
        <v>50.6</v>
      </c>
    </row>
    <row r="179" spans="1:13">
      <c r="A179" s="69">
        <v>35369</v>
      </c>
      <c r="B179" s="77">
        <v>50.1</v>
      </c>
      <c r="C179" s="77">
        <v>47.8</v>
      </c>
      <c r="D179" s="78">
        <v>47.4</v>
      </c>
      <c r="E179" s="77">
        <v>60.8</v>
      </c>
      <c r="F179" s="77">
        <v>58.1</v>
      </c>
      <c r="G179" s="78">
        <v>57.7</v>
      </c>
      <c r="H179" s="77">
        <v>46.1</v>
      </c>
      <c r="I179" s="77">
        <v>44</v>
      </c>
      <c r="J179" s="78">
        <v>43.5</v>
      </c>
      <c r="K179" s="79">
        <v>51.6</v>
      </c>
      <c r="L179" s="79">
        <v>49.2</v>
      </c>
      <c r="M179" s="80">
        <v>48.8</v>
      </c>
    </row>
    <row r="180" spans="1:13">
      <c r="A180" s="69">
        <v>35399</v>
      </c>
      <c r="B180" s="67">
        <v>49.5</v>
      </c>
      <c r="C180" s="67">
        <v>47</v>
      </c>
      <c r="D180" s="76">
        <v>47</v>
      </c>
      <c r="E180" s="67">
        <v>59</v>
      </c>
      <c r="F180" s="67">
        <v>56.1</v>
      </c>
      <c r="G180" s="76">
        <v>56.2</v>
      </c>
      <c r="H180" s="67">
        <v>45.8</v>
      </c>
      <c r="I180" s="67">
        <v>43.5</v>
      </c>
      <c r="J180" s="76">
        <v>43.5</v>
      </c>
      <c r="K180" s="68">
        <v>54.5</v>
      </c>
      <c r="L180" s="68">
        <v>51.8</v>
      </c>
      <c r="M180" s="70">
        <v>51.9</v>
      </c>
    </row>
    <row r="181" spans="1:13">
      <c r="A181" s="69">
        <v>35430</v>
      </c>
      <c r="B181" s="77">
        <v>49.3</v>
      </c>
      <c r="C181" s="77">
        <v>47.4</v>
      </c>
      <c r="D181" s="78">
        <v>46.9</v>
      </c>
      <c r="E181" s="77">
        <v>57.9</v>
      </c>
      <c r="F181" s="77">
        <v>55.7</v>
      </c>
      <c r="G181" s="78">
        <v>55.3</v>
      </c>
      <c r="H181" s="77">
        <v>45.9</v>
      </c>
      <c r="I181" s="77">
        <v>44.1</v>
      </c>
      <c r="J181" s="78">
        <v>43.7</v>
      </c>
      <c r="K181" s="79">
        <v>55.1</v>
      </c>
      <c r="L181" s="79">
        <v>53</v>
      </c>
      <c r="M181" s="80">
        <v>52.6</v>
      </c>
    </row>
    <row r="182" spans="1:13">
      <c r="A182" s="69">
        <v>35461</v>
      </c>
      <c r="B182" s="67">
        <v>50.6</v>
      </c>
      <c r="C182" s="67">
        <v>48.1</v>
      </c>
      <c r="D182" s="76">
        <v>47</v>
      </c>
      <c r="E182" s="67">
        <v>59.8</v>
      </c>
      <c r="F182" s="67">
        <v>56.9</v>
      </c>
      <c r="G182" s="76">
        <v>55.7</v>
      </c>
      <c r="H182" s="67">
        <v>47.1</v>
      </c>
      <c r="I182" s="67">
        <v>44.7</v>
      </c>
      <c r="J182" s="76">
        <v>43.7</v>
      </c>
      <c r="K182" s="68">
        <v>59.4</v>
      </c>
      <c r="L182" s="68">
        <v>56.5</v>
      </c>
      <c r="M182" s="70">
        <v>55.3</v>
      </c>
    </row>
    <row r="183" spans="1:13">
      <c r="A183" s="69">
        <v>35489</v>
      </c>
      <c r="B183" s="77">
        <v>51.3</v>
      </c>
      <c r="C183" s="77">
        <v>49.2</v>
      </c>
      <c r="D183" s="78">
        <v>47</v>
      </c>
      <c r="E183" s="77">
        <v>62</v>
      </c>
      <c r="F183" s="77">
        <v>59.6</v>
      </c>
      <c r="G183" s="78">
        <v>57</v>
      </c>
      <c r="H183" s="77">
        <v>47.2</v>
      </c>
      <c r="I183" s="77">
        <v>45.3</v>
      </c>
      <c r="J183" s="78">
        <v>43.2</v>
      </c>
      <c r="K183" s="79">
        <v>61</v>
      </c>
      <c r="L183" s="79">
        <v>58.6</v>
      </c>
      <c r="M183" s="80">
        <v>56</v>
      </c>
    </row>
    <row r="184" spans="1:13">
      <c r="A184" s="69">
        <v>35520</v>
      </c>
      <c r="B184" s="67">
        <v>50.7</v>
      </c>
      <c r="C184" s="67">
        <v>50.4</v>
      </c>
      <c r="D184" s="76">
        <v>47.8</v>
      </c>
      <c r="E184" s="67">
        <v>63.6</v>
      </c>
      <c r="F184" s="67">
        <v>63.2</v>
      </c>
      <c r="G184" s="76">
        <v>60</v>
      </c>
      <c r="H184" s="67">
        <v>46.1</v>
      </c>
      <c r="I184" s="67">
        <v>45.7</v>
      </c>
      <c r="J184" s="76">
        <v>43.3</v>
      </c>
      <c r="K184" s="68">
        <v>61.3</v>
      </c>
      <c r="L184" s="68">
        <v>60.9</v>
      </c>
      <c r="M184" s="70">
        <v>57.8</v>
      </c>
    </row>
    <row r="185" spans="1:13">
      <c r="A185" s="69">
        <v>35550</v>
      </c>
      <c r="B185" s="77">
        <v>50.8</v>
      </c>
      <c r="C185" s="77">
        <v>50</v>
      </c>
      <c r="D185" s="78">
        <v>47.2</v>
      </c>
      <c r="E185" s="77">
        <v>65</v>
      </c>
      <c r="F185" s="77">
        <v>64.099999999999994</v>
      </c>
      <c r="G185" s="78">
        <v>60.6</v>
      </c>
      <c r="H185" s="77">
        <v>45.7</v>
      </c>
      <c r="I185" s="77">
        <v>45</v>
      </c>
      <c r="J185" s="78">
        <v>42.5</v>
      </c>
      <c r="K185" s="79">
        <v>59.5</v>
      </c>
      <c r="L185" s="79">
        <v>58.6</v>
      </c>
      <c r="M185" s="80">
        <v>55.5</v>
      </c>
    </row>
    <row r="186" spans="1:13">
      <c r="A186" s="69">
        <v>35581</v>
      </c>
      <c r="B186" s="67">
        <v>51.2</v>
      </c>
      <c r="C186" s="67">
        <v>49.8</v>
      </c>
      <c r="D186" s="76">
        <v>47.4</v>
      </c>
      <c r="E186" s="67">
        <v>64.8</v>
      </c>
      <c r="F186" s="67">
        <v>63.1</v>
      </c>
      <c r="G186" s="76">
        <v>60.1</v>
      </c>
      <c r="H186" s="67">
        <v>46.3</v>
      </c>
      <c r="I186" s="67">
        <v>45</v>
      </c>
      <c r="J186" s="76">
        <v>42.8</v>
      </c>
      <c r="K186" s="68">
        <v>62</v>
      </c>
      <c r="L186" s="68">
        <v>60.3</v>
      </c>
      <c r="M186" s="70">
        <v>57.5</v>
      </c>
    </row>
    <row r="187" spans="1:13">
      <c r="A187" s="69">
        <v>35611</v>
      </c>
      <c r="B187" s="77">
        <v>51.6</v>
      </c>
      <c r="C187" s="77">
        <v>48.5</v>
      </c>
      <c r="D187" s="78">
        <v>46.4</v>
      </c>
      <c r="E187" s="77">
        <v>65</v>
      </c>
      <c r="F187" s="77">
        <v>61.1</v>
      </c>
      <c r="G187" s="78">
        <v>58.6</v>
      </c>
      <c r="H187" s="77">
        <v>46.7</v>
      </c>
      <c r="I187" s="77">
        <v>43.9</v>
      </c>
      <c r="J187" s="78">
        <v>42</v>
      </c>
      <c r="K187" s="79">
        <v>62.8</v>
      </c>
      <c r="L187" s="79">
        <v>59</v>
      </c>
      <c r="M187" s="80">
        <v>56.6</v>
      </c>
    </row>
    <row r="188" spans="1:13">
      <c r="A188" s="69">
        <v>35642</v>
      </c>
      <c r="B188" s="67">
        <v>51.5</v>
      </c>
      <c r="C188" s="67">
        <v>48.1</v>
      </c>
      <c r="D188" s="76">
        <v>45.6</v>
      </c>
      <c r="E188" s="67">
        <v>64.5</v>
      </c>
      <c r="F188" s="67">
        <v>60.3</v>
      </c>
      <c r="G188" s="76">
        <v>57.3</v>
      </c>
      <c r="H188" s="67">
        <v>46.7</v>
      </c>
      <c r="I188" s="67">
        <v>43.6</v>
      </c>
      <c r="J188" s="76">
        <v>41.4</v>
      </c>
      <c r="K188" s="68">
        <v>64.5</v>
      </c>
      <c r="L188" s="68">
        <v>60.3</v>
      </c>
      <c r="M188" s="70">
        <v>57.3</v>
      </c>
    </row>
    <row r="189" spans="1:13">
      <c r="A189" s="69">
        <v>35673</v>
      </c>
      <c r="B189" s="77">
        <v>52.1</v>
      </c>
      <c r="C189" s="77">
        <v>49.4</v>
      </c>
      <c r="D189" s="78">
        <v>46.1</v>
      </c>
      <c r="E189" s="77">
        <v>65.900000000000006</v>
      </c>
      <c r="F189" s="77">
        <v>62.6</v>
      </c>
      <c r="G189" s="78">
        <v>58.5</v>
      </c>
      <c r="H189" s="77">
        <v>47.1</v>
      </c>
      <c r="I189" s="77">
        <v>44.7</v>
      </c>
      <c r="J189" s="78">
        <v>41.7</v>
      </c>
      <c r="K189" s="79">
        <v>66.5</v>
      </c>
      <c r="L189" s="79">
        <v>63.2</v>
      </c>
      <c r="M189" s="80">
        <v>59.1</v>
      </c>
    </row>
    <row r="190" spans="1:13">
      <c r="A190" s="69">
        <v>35703</v>
      </c>
      <c r="B190" s="67">
        <v>52.8</v>
      </c>
      <c r="C190" s="67">
        <v>48.7</v>
      </c>
      <c r="D190" s="76">
        <v>45.6</v>
      </c>
      <c r="E190" s="67">
        <v>66.7</v>
      </c>
      <c r="F190" s="67">
        <v>61.6</v>
      </c>
      <c r="G190" s="76">
        <v>57.8</v>
      </c>
      <c r="H190" s="67">
        <v>47.7</v>
      </c>
      <c r="I190" s="67">
        <v>44</v>
      </c>
      <c r="J190" s="76">
        <v>41.2</v>
      </c>
      <c r="K190" s="68">
        <v>65.3</v>
      </c>
      <c r="L190" s="68">
        <v>60.3</v>
      </c>
      <c r="M190" s="70">
        <v>56.5</v>
      </c>
    </row>
    <row r="191" spans="1:13">
      <c r="A191" s="69">
        <v>35734</v>
      </c>
      <c r="B191" s="77">
        <v>52.6</v>
      </c>
      <c r="C191" s="77">
        <v>48</v>
      </c>
      <c r="D191" s="78">
        <v>45.3</v>
      </c>
      <c r="E191" s="77">
        <v>65.900000000000006</v>
      </c>
      <c r="F191" s="77">
        <v>60.3</v>
      </c>
      <c r="G191" s="78">
        <v>56.9</v>
      </c>
      <c r="H191" s="77">
        <v>47.7</v>
      </c>
      <c r="I191" s="77">
        <v>43.6</v>
      </c>
      <c r="J191" s="78">
        <v>41.1</v>
      </c>
      <c r="K191" s="79">
        <v>63</v>
      </c>
      <c r="L191" s="79">
        <v>57.6</v>
      </c>
      <c r="M191" s="80">
        <v>54.3</v>
      </c>
    </row>
    <row r="192" spans="1:13">
      <c r="A192" s="69">
        <v>35764</v>
      </c>
      <c r="B192" s="67">
        <v>54.1</v>
      </c>
      <c r="C192" s="67">
        <v>47.4</v>
      </c>
      <c r="D192" s="76">
        <v>44.9</v>
      </c>
      <c r="E192" s="67">
        <v>68.7</v>
      </c>
      <c r="F192" s="67">
        <v>60.3</v>
      </c>
      <c r="G192" s="76">
        <v>57.2</v>
      </c>
      <c r="H192" s="67">
        <v>48.8</v>
      </c>
      <c r="I192" s="67">
        <v>42.8</v>
      </c>
      <c r="J192" s="76">
        <v>40.5</v>
      </c>
      <c r="K192" s="68">
        <v>63.2</v>
      </c>
      <c r="L192" s="68">
        <v>55.5</v>
      </c>
      <c r="M192" s="70">
        <v>52.6</v>
      </c>
    </row>
    <row r="193" spans="1:13">
      <c r="A193" s="69">
        <v>35795</v>
      </c>
      <c r="B193" s="77">
        <v>55.1</v>
      </c>
      <c r="C193" s="77">
        <v>46.7</v>
      </c>
      <c r="D193" s="78">
        <v>43.6</v>
      </c>
      <c r="E193" s="77">
        <v>70.2</v>
      </c>
      <c r="F193" s="77">
        <v>59.6</v>
      </c>
      <c r="G193" s="78">
        <v>55.7</v>
      </c>
      <c r="H193" s="77">
        <v>49.7</v>
      </c>
      <c r="I193" s="77">
        <v>42.1</v>
      </c>
      <c r="J193" s="78">
        <v>39.299999999999997</v>
      </c>
      <c r="K193" s="79">
        <v>63</v>
      </c>
      <c r="L193" s="79">
        <v>53.5</v>
      </c>
      <c r="M193" s="80">
        <v>49.9</v>
      </c>
    </row>
    <row r="194" spans="1:13">
      <c r="A194" s="69">
        <v>35826</v>
      </c>
      <c r="B194" s="67">
        <v>54.2</v>
      </c>
      <c r="C194" s="67">
        <v>45.8</v>
      </c>
      <c r="D194" s="76">
        <v>42.3</v>
      </c>
      <c r="E194" s="67">
        <v>67.8</v>
      </c>
      <c r="F194" s="67">
        <v>57.4</v>
      </c>
      <c r="G194" s="76">
        <v>53.2</v>
      </c>
      <c r="H194" s="67">
        <v>49.3</v>
      </c>
      <c r="I194" s="67">
        <v>41.6</v>
      </c>
      <c r="J194" s="76">
        <v>38.4</v>
      </c>
      <c r="K194" s="68">
        <v>62</v>
      </c>
      <c r="L194" s="68">
        <v>52.4</v>
      </c>
      <c r="M194" s="70">
        <v>48.5</v>
      </c>
    </row>
    <row r="195" spans="1:13">
      <c r="A195" s="69">
        <v>35854</v>
      </c>
      <c r="B195" s="77">
        <v>52.6</v>
      </c>
      <c r="C195" s="77">
        <v>45.5</v>
      </c>
      <c r="D195" s="78">
        <v>42.3</v>
      </c>
      <c r="E195" s="77">
        <v>65</v>
      </c>
      <c r="F195" s="77">
        <v>56.4</v>
      </c>
      <c r="G195" s="78">
        <v>52.4</v>
      </c>
      <c r="H195" s="77">
        <v>48.1</v>
      </c>
      <c r="I195" s="77">
        <v>41.6</v>
      </c>
      <c r="J195" s="78">
        <v>38.6</v>
      </c>
      <c r="K195" s="79">
        <v>59.1</v>
      </c>
      <c r="L195" s="79">
        <v>51.1</v>
      </c>
      <c r="M195" s="80">
        <v>47.6</v>
      </c>
    </row>
    <row r="196" spans="1:13">
      <c r="A196" s="69">
        <v>35885</v>
      </c>
      <c r="B196" s="67">
        <v>52.6</v>
      </c>
      <c r="C196" s="67">
        <v>45.4</v>
      </c>
      <c r="D196" s="76">
        <v>42</v>
      </c>
      <c r="E196" s="67">
        <v>65.8</v>
      </c>
      <c r="F196" s="67">
        <v>56.9</v>
      </c>
      <c r="G196" s="76">
        <v>52.7</v>
      </c>
      <c r="H196" s="67">
        <v>47.8</v>
      </c>
      <c r="I196" s="67">
        <v>41.2</v>
      </c>
      <c r="J196" s="76">
        <v>38.200000000000003</v>
      </c>
      <c r="K196" s="68">
        <v>59.4</v>
      </c>
      <c r="L196" s="68">
        <v>51.3</v>
      </c>
      <c r="M196" s="70">
        <v>47.6</v>
      </c>
    </row>
    <row r="197" spans="1:13">
      <c r="A197" s="69">
        <v>35915</v>
      </c>
      <c r="B197" s="77">
        <v>53.6</v>
      </c>
      <c r="C197" s="77">
        <v>45.1</v>
      </c>
      <c r="D197" s="78">
        <v>41.7</v>
      </c>
      <c r="E197" s="77">
        <v>64.8</v>
      </c>
      <c r="F197" s="77">
        <v>54.7</v>
      </c>
      <c r="G197" s="78">
        <v>50.6</v>
      </c>
      <c r="H197" s="77">
        <v>49.3</v>
      </c>
      <c r="I197" s="77">
        <v>41.6</v>
      </c>
      <c r="J197" s="78">
        <v>38.4</v>
      </c>
      <c r="K197" s="79">
        <v>61.2</v>
      </c>
      <c r="L197" s="79">
        <v>51.6</v>
      </c>
      <c r="M197" s="80">
        <v>47.8</v>
      </c>
    </row>
    <row r="198" spans="1:13">
      <c r="A198" s="69">
        <v>35946</v>
      </c>
      <c r="B198" s="67">
        <v>54.2</v>
      </c>
      <c r="C198" s="67">
        <v>44.1</v>
      </c>
      <c r="D198" s="76">
        <v>40.799999999999997</v>
      </c>
      <c r="E198" s="67">
        <v>66.7</v>
      </c>
      <c r="F198" s="67">
        <v>54.4</v>
      </c>
      <c r="G198" s="76">
        <v>50.4</v>
      </c>
      <c r="H198" s="67">
        <v>49.6</v>
      </c>
      <c r="I198" s="67">
        <v>40.299999999999997</v>
      </c>
      <c r="J198" s="76">
        <v>37.299999999999997</v>
      </c>
      <c r="K198" s="68">
        <v>60.6</v>
      </c>
      <c r="L198" s="68">
        <v>49.3</v>
      </c>
      <c r="M198" s="70">
        <v>45.7</v>
      </c>
    </row>
    <row r="199" spans="1:13">
      <c r="A199" s="69">
        <v>35976</v>
      </c>
      <c r="B199" s="77">
        <v>54.8</v>
      </c>
      <c r="C199" s="77">
        <v>43</v>
      </c>
      <c r="D199" s="78">
        <v>39.5</v>
      </c>
      <c r="E199" s="77">
        <v>66.5</v>
      </c>
      <c r="F199" s="77">
        <v>52.2</v>
      </c>
      <c r="G199" s="78">
        <v>48</v>
      </c>
      <c r="H199" s="77">
        <v>50.5</v>
      </c>
      <c r="I199" s="77">
        <v>39.5</v>
      </c>
      <c r="J199" s="78">
        <v>36.299999999999997</v>
      </c>
      <c r="K199" s="79">
        <v>60.5</v>
      </c>
      <c r="L199" s="79">
        <v>47.5</v>
      </c>
      <c r="M199" s="80">
        <v>43.7</v>
      </c>
    </row>
    <row r="200" spans="1:13">
      <c r="A200" s="69">
        <v>36007</v>
      </c>
      <c r="B200" s="67">
        <v>53.1</v>
      </c>
      <c r="C200" s="67">
        <v>42.8</v>
      </c>
      <c r="D200" s="76">
        <v>39.200000000000003</v>
      </c>
      <c r="E200" s="67">
        <v>64.599999999999994</v>
      </c>
      <c r="F200" s="67">
        <v>52.1</v>
      </c>
      <c r="G200" s="76">
        <v>47.8</v>
      </c>
      <c r="H200" s="67">
        <v>48.8</v>
      </c>
      <c r="I200" s="67">
        <v>39.299999999999997</v>
      </c>
      <c r="J200" s="76">
        <v>36</v>
      </c>
      <c r="K200" s="68">
        <v>59.3</v>
      </c>
      <c r="L200" s="68">
        <v>47.8</v>
      </c>
      <c r="M200" s="70">
        <v>43.8</v>
      </c>
    </row>
    <row r="201" spans="1:13">
      <c r="A201" s="69">
        <v>36038</v>
      </c>
      <c r="B201" s="77">
        <v>54.8</v>
      </c>
      <c r="C201" s="77">
        <v>42.3</v>
      </c>
      <c r="D201" s="78">
        <v>38.6</v>
      </c>
      <c r="E201" s="77">
        <v>65.7</v>
      </c>
      <c r="F201" s="77">
        <v>50.8</v>
      </c>
      <c r="G201" s="78">
        <v>46.5</v>
      </c>
      <c r="H201" s="77">
        <v>50.6</v>
      </c>
      <c r="I201" s="77">
        <v>39.1</v>
      </c>
      <c r="J201" s="78">
        <v>35.6</v>
      </c>
      <c r="K201" s="79">
        <v>61.6</v>
      </c>
      <c r="L201" s="79">
        <v>47.6</v>
      </c>
      <c r="M201" s="80">
        <v>43.5</v>
      </c>
    </row>
    <row r="202" spans="1:13">
      <c r="A202" s="69">
        <v>36068</v>
      </c>
      <c r="B202" s="67">
        <v>54.2</v>
      </c>
      <c r="C202" s="67">
        <v>40.6</v>
      </c>
      <c r="D202" s="76">
        <v>38.1</v>
      </c>
      <c r="E202" s="67">
        <v>63</v>
      </c>
      <c r="F202" s="67">
        <v>47.3</v>
      </c>
      <c r="G202" s="76">
        <v>44.4</v>
      </c>
      <c r="H202" s="67">
        <v>50.7</v>
      </c>
      <c r="I202" s="67">
        <v>38</v>
      </c>
      <c r="J202" s="76">
        <v>35.6</v>
      </c>
      <c r="K202" s="68">
        <v>62.2</v>
      </c>
      <c r="L202" s="68">
        <v>46.6</v>
      </c>
      <c r="M202" s="70">
        <v>43.8</v>
      </c>
    </row>
    <row r="203" spans="1:13">
      <c r="A203" s="69">
        <v>36099</v>
      </c>
      <c r="B203" s="77">
        <v>52</v>
      </c>
      <c r="C203" s="77">
        <v>39.700000000000003</v>
      </c>
      <c r="D203" s="78">
        <v>38.4</v>
      </c>
      <c r="E203" s="77">
        <v>60.6</v>
      </c>
      <c r="F203" s="77">
        <v>46.3</v>
      </c>
      <c r="G203" s="78">
        <v>44.8</v>
      </c>
      <c r="H203" s="77">
        <v>48.7</v>
      </c>
      <c r="I203" s="77">
        <v>37.1</v>
      </c>
      <c r="J203" s="78">
        <v>35.799999999999997</v>
      </c>
      <c r="K203" s="79">
        <v>57.2</v>
      </c>
      <c r="L203" s="79">
        <v>43.7</v>
      </c>
      <c r="M203" s="80">
        <v>42.3</v>
      </c>
    </row>
    <row r="204" spans="1:13">
      <c r="A204" s="69">
        <v>36129</v>
      </c>
      <c r="B204" s="67">
        <v>50.5</v>
      </c>
      <c r="C204" s="67">
        <v>39.799999999999997</v>
      </c>
      <c r="D204" s="76">
        <v>38.200000000000003</v>
      </c>
      <c r="E204" s="67">
        <v>60.3</v>
      </c>
      <c r="F204" s="67">
        <v>47.6</v>
      </c>
      <c r="G204" s="76">
        <v>45.8</v>
      </c>
      <c r="H204" s="67">
        <v>46.7</v>
      </c>
      <c r="I204" s="67">
        <v>36.799999999999997</v>
      </c>
      <c r="J204" s="76">
        <v>35.299999999999997</v>
      </c>
      <c r="K204" s="68">
        <v>55.9</v>
      </c>
      <c r="L204" s="68">
        <v>44.1</v>
      </c>
      <c r="M204" s="70">
        <v>42.4</v>
      </c>
    </row>
    <row r="205" spans="1:13">
      <c r="A205" s="69">
        <v>36160</v>
      </c>
      <c r="B205" s="77">
        <v>50.6</v>
      </c>
      <c r="C205" s="77">
        <v>38.799999999999997</v>
      </c>
      <c r="D205" s="78">
        <v>37.4</v>
      </c>
      <c r="E205" s="77">
        <v>61.3</v>
      </c>
      <c r="F205" s="77">
        <v>47</v>
      </c>
      <c r="G205" s="78">
        <v>45.4</v>
      </c>
      <c r="H205" s="77">
        <v>46.6</v>
      </c>
      <c r="I205" s="77">
        <v>35.700000000000003</v>
      </c>
      <c r="J205" s="78">
        <v>34.4</v>
      </c>
      <c r="K205" s="79">
        <v>55.2</v>
      </c>
      <c r="L205" s="79">
        <v>42.3</v>
      </c>
      <c r="M205" s="80">
        <v>40.799999999999997</v>
      </c>
    </row>
    <row r="206" spans="1:13">
      <c r="A206" s="69">
        <v>36191</v>
      </c>
      <c r="B206" s="67">
        <v>50</v>
      </c>
      <c r="C206" s="67">
        <v>38.9</v>
      </c>
      <c r="D206" s="76">
        <v>37.700000000000003</v>
      </c>
      <c r="E206" s="67">
        <v>60.5</v>
      </c>
      <c r="F206" s="67">
        <v>47.1</v>
      </c>
      <c r="G206" s="76">
        <v>45.7</v>
      </c>
      <c r="H206" s="67">
        <v>46.1</v>
      </c>
      <c r="I206" s="67">
        <v>35.9</v>
      </c>
      <c r="J206" s="76">
        <v>34.700000000000003</v>
      </c>
      <c r="K206" s="68">
        <v>53.4</v>
      </c>
      <c r="L206" s="68">
        <v>41.6</v>
      </c>
      <c r="M206" s="70">
        <v>40.299999999999997</v>
      </c>
    </row>
    <row r="207" spans="1:13">
      <c r="A207" s="69">
        <v>36219</v>
      </c>
      <c r="B207" s="77">
        <v>48.8</v>
      </c>
      <c r="C207" s="77">
        <v>39.200000000000003</v>
      </c>
      <c r="D207" s="78">
        <v>37.299999999999997</v>
      </c>
      <c r="E207" s="77">
        <v>58.5</v>
      </c>
      <c r="F207" s="77">
        <v>47.1</v>
      </c>
      <c r="G207" s="78">
        <v>44.9</v>
      </c>
      <c r="H207" s="77">
        <v>45.1</v>
      </c>
      <c r="I207" s="77">
        <v>36.200000000000003</v>
      </c>
      <c r="J207" s="78">
        <v>34.4</v>
      </c>
      <c r="K207" s="79">
        <v>52.7</v>
      </c>
      <c r="L207" s="79">
        <v>42.4</v>
      </c>
      <c r="M207" s="80">
        <v>40.4</v>
      </c>
    </row>
    <row r="208" spans="1:13">
      <c r="A208" s="69">
        <v>36250</v>
      </c>
      <c r="B208" s="67">
        <v>49.7</v>
      </c>
      <c r="C208" s="67">
        <v>39.9</v>
      </c>
      <c r="D208" s="76">
        <v>37.4</v>
      </c>
      <c r="E208" s="67">
        <v>59.7</v>
      </c>
      <c r="F208" s="67">
        <v>47.9</v>
      </c>
      <c r="G208" s="76">
        <v>45</v>
      </c>
      <c r="H208" s="67">
        <v>45.9</v>
      </c>
      <c r="I208" s="67">
        <v>36.799999999999997</v>
      </c>
      <c r="J208" s="76">
        <v>34.5</v>
      </c>
      <c r="K208" s="68">
        <v>53.7</v>
      </c>
      <c r="L208" s="68">
        <v>43.1</v>
      </c>
      <c r="M208" s="70">
        <v>40.4</v>
      </c>
    </row>
    <row r="209" spans="1:13">
      <c r="A209" s="69">
        <v>36280</v>
      </c>
      <c r="B209" s="77">
        <v>48.1</v>
      </c>
      <c r="C209" s="77">
        <v>39.5</v>
      </c>
      <c r="D209" s="78">
        <v>36.799999999999997</v>
      </c>
      <c r="E209" s="77">
        <v>58.8</v>
      </c>
      <c r="F209" s="77">
        <v>48.4</v>
      </c>
      <c r="G209" s="78">
        <v>45.2</v>
      </c>
      <c r="H209" s="77">
        <v>44.1</v>
      </c>
      <c r="I209" s="77">
        <v>36.200000000000003</v>
      </c>
      <c r="J209" s="78">
        <v>33.799999999999997</v>
      </c>
      <c r="K209" s="79">
        <v>55.6</v>
      </c>
      <c r="L209" s="79">
        <v>45.7</v>
      </c>
      <c r="M209" s="80">
        <v>42.7</v>
      </c>
    </row>
    <row r="210" spans="1:13">
      <c r="A210" s="69">
        <v>36311</v>
      </c>
      <c r="B210" s="67">
        <v>46.5</v>
      </c>
      <c r="C210" s="67">
        <v>39.6</v>
      </c>
      <c r="D210" s="76">
        <v>36.799999999999997</v>
      </c>
      <c r="E210" s="67">
        <v>57.6</v>
      </c>
      <c r="F210" s="67">
        <v>49.1</v>
      </c>
      <c r="G210" s="76">
        <v>45.7</v>
      </c>
      <c r="H210" s="67">
        <v>42.4</v>
      </c>
      <c r="I210" s="67">
        <v>36.1</v>
      </c>
      <c r="J210" s="76">
        <v>33.5</v>
      </c>
      <c r="K210" s="68">
        <v>55.7</v>
      </c>
      <c r="L210" s="68">
        <v>47.5</v>
      </c>
      <c r="M210" s="70">
        <v>44.1</v>
      </c>
    </row>
    <row r="211" spans="1:13">
      <c r="A211" s="69">
        <v>36341</v>
      </c>
      <c r="B211" s="77">
        <v>47.1</v>
      </c>
      <c r="C211" s="77">
        <v>40</v>
      </c>
      <c r="D211" s="78">
        <v>36.799999999999997</v>
      </c>
      <c r="E211" s="77">
        <v>59.3</v>
      </c>
      <c r="F211" s="77">
        <v>50.4</v>
      </c>
      <c r="G211" s="78">
        <v>46.6</v>
      </c>
      <c r="H211" s="77">
        <v>42.6</v>
      </c>
      <c r="I211" s="77">
        <v>36.200000000000003</v>
      </c>
      <c r="J211" s="78">
        <v>33.4</v>
      </c>
      <c r="K211" s="79">
        <v>55</v>
      </c>
      <c r="L211" s="79">
        <v>46.7</v>
      </c>
      <c r="M211" s="80">
        <v>43.2</v>
      </c>
    </row>
    <row r="212" spans="1:13">
      <c r="A212" s="69">
        <v>36372</v>
      </c>
      <c r="B212" s="67">
        <v>47.3</v>
      </c>
      <c r="C212" s="67">
        <v>40.299999999999997</v>
      </c>
      <c r="D212" s="76">
        <v>37.1</v>
      </c>
      <c r="E212" s="67">
        <v>59.1</v>
      </c>
      <c r="F212" s="67">
        <v>50.4</v>
      </c>
      <c r="G212" s="76">
        <v>46.5</v>
      </c>
      <c r="H212" s="67">
        <v>43</v>
      </c>
      <c r="I212" s="67">
        <v>36.6</v>
      </c>
      <c r="J212" s="76">
        <v>33.700000000000003</v>
      </c>
      <c r="K212" s="68">
        <v>59.1</v>
      </c>
      <c r="L212" s="68">
        <v>50.4</v>
      </c>
      <c r="M212" s="70">
        <v>46.5</v>
      </c>
    </row>
    <row r="213" spans="1:13">
      <c r="A213" s="69">
        <v>36403</v>
      </c>
      <c r="B213" s="77">
        <v>49.4</v>
      </c>
      <c r="C213" s="77">
        <v>40.6</v>
      </c>
      <c r="D213" s="78">
        <v>38.1</v>
      </c>
      <c r="E213" s="77">
        <v>62.4</v>
      </c>
      <c r="F213" s="77">
        <v>51.2</v>
      </c>
      <c r="G213" s="78">
        <v>48.2</v>
      </c>
      <c r="H213" s="77">
        <v>44.8</v>
      </c>
      <c r="I213" s="77">
        <v>36.700000000000003</v>
      </c>
      <c r="J213" s="78">
        <v>34.4</v>
      </c>
      <c r="K213" s="79">
        <v>62.2</v>
      </c>
      <c r="L213" s="79">
        <v>51</v>
      </c>
      <c r="M213" s="80">
        <v>48</v>
      </c>
    </row>
    <row r="214" spans="1:13">
      <c r="A214" s="69">
        <v>36433</v>
      </c>
      <c r="B214" s="67">
        <v>49.7</v>
      </c>
      <c r="C214" s="67">
        <v>40.6</v>
      </c>
      <c r="D214" s="76">
        <v>38.4</v>
      </c>
      <c r="E214" s="67">
        <v>61.3</v>
      </c>
      <c r="F214" s="67">
        <v>50.2</v>
      </c>
      <c r="G214" s="76">
        <v>47.6</v>
      </c>
      <c r="H214" s="67">
        <v>45.4</v>
      </c>
      <c r="I214" s="67">
        <v>37.1</v>
      </c>
      <c r="J214" s="76">
        <v>35.1</v>
      </c>
      <c r="K214" s="68">
        <v>64.7</v>
      </c>
      <c r="L214" s="68">
        <v>53</v>
      </c>
      <c r="M214" s="70">
        <v>50.2</v>
      </c>
    </row>
    <row r="215" spans="1:13">
      <c r="A215" s="69">
        <v>36464</v>
      </c>
      <c r="B215" s="77">
        <v>50.4</v>
      </c>
      <c r="C215" s="77">
        <v>41</v>
      </c>
      <c r="D215" s="78">
        <v>39.200000000000003</v>
      </c>
      <c r="E215" s="77">
        <v>59.5</v>
      </c>
      <c r="F215" s="77">
        <v>48.5</v>
      </c>
      <c r="G215" s="78">
        <v>46.4</v>
      </c>
      <c r="H215" s="77">
        <v>46.9</v>
      </c>
      <c r="I215" s="77">
        <v>38.1</v>
      </c>
      <c r="J215" s="78">
        <v>36.4</v>
      </c>
      <c r="K215" s="79">
        <v>63.7</v>
      </c>
      <c r="L215" s="79">
        <v>51.8</v>
      </c>
      <c r="M215" s="80">
        <v>49.6</v>
      </c>
    </row>
    <row r="216" spans="1:13">
      <c r="A216" s="69">
        <v>36494</v>
      </c>
      <c r="B216" s="67">
        <v>50.8</v>
      </c>
      <c r="C216" s="67">
        <v>40.9</v>
      </c>
      <c r="D216" s="76">
        <v>38.799999999999997</v>
      </c>
      <c r="E216" s="67">
        <v>60.2</v>
      </c>
      <c r="F216" s="67">
        <v>48.6</v>
      </c>
      <c r="G216" s="76">
        <v>46.1</v>
      </c>
      <c r="H216" s="67">
        <v>47.1</v>
      </c>
      <c r="I216" s="67">
        <v>38</v>
      </c>
      <c r="J216" s="76">
        <v>36</v>
      </c>
      <c r="K216" s="68">
        <v>65.400000000000006</v>
      </c>
      <c r="L216" s="68">
        <v>52.7</v>
      </c>
      <c r="M216" s="70">
        <v>50</v>
      </c>
    </row>
    <row r="217" spans="1:13">
      <c r="A217" s="69">
        <v>36525</v>
      </c>
      <c r="B217" s="77">
        <v>50.6</v>
      </c>
      <c r="C217" s="77">
        <v>40.9</v>
      </c>
      <c r="D217" s="78">
        <v>38.6</v>
      </c>
      <c r="E217" s="77">
        <v>58.4</v>
      </c>
      <c r="F217" s="77">
        <v>47.3</v>
      </c>
      <c r="G217" s="78">
        <v>44.8</v>
      </c>
      <c r="H217" s="77">
        <v>47.4</v>
      </c>
      <c r="I217" s="77">
        <v>38.299999999999997</v>
      </c>
      <c r="J217" s="78">
        <v>36.200000000000003</v>
      </c>
      <c r="K217" s="79">
        <v>68.3</v>
      </c>
      <c r="L217" s="79">
        <v>55.3</v>
      </c>
      <c r="M217" s="80">
        <v>52.3</v>
      </c>
    </row>
    <row r="218" spans="1:13">
      <c r="A218" s="69">
        <v>36556</v>
      </c>
      <c r="B218" s="67">
        <v>50.4</v>
      </c>
      <c r="C218" s="67">
        <v>42</v>
      </c>
      <c r="D218" s="76">
        <v>39.6</v>
      </c>
      <c r="E218" s="67">
        <v>57.9</v>
      </c>
      <c r="F218" s="67">
        <v>48.3</v>
      </c>
      <c r="G218" s="76">
        <v>45.6</v>
      </c>
      <c r="H218" s="67">
        <v>47.3</v>
      </c>
      <c r="I218" s="67">
        <v>39.4</v>
      </c>
      <c r="J218" s="76">
        <v>37.1</v>
      </c>
      <c r="K218" s="68">
        <v>69.900000000000006</v>
      </c>
      <c r="L218" s="68">
        <v>58.2</v>
      </c>
      <c r="M218" s="70">
        <v>55</v>
      </c>
    </row>
    <row r="219" spans="1:13">
      <c r="A219" s="69">
        <v>36585</v>
      </c>
      <c r="B219" s="77">
        <v>53.6</v>
      </c>
      <c r="C219" s="77">
        <v>43.4</v>
      </c>
      <c r="D219" s="78">
        <v>40.200000000000003</v>
      </c>
      <c r="E219" s="77">
        <v>61.4</v>
      </c>
      <c r="F219" s="77">
        <v>49.8</v>
      </c>
      <c r="G219" s="78">
        <v>46.2</v>
      </c>
      <c r="H219" s="77">
        <v>50.4</v>
      </c>
      <c r="I219" s="77">
        <v>40.799999999999997</v>
      </c>
      <c r="J219" s="78">
        <v>37.799999999999997</v>
      </c>
      <c r="K219" s="79">
        <v>72.8</v>
      </c>
      <c r="L219" s="79">
        <v>59.1</v>
      </c>
      <c r="M219" s="80">
        <v>54.8</v>
      </c>
    </row>
    <row r="220" spans="1:13">
      <c r="A220" s="69">
        <v>36616</v>
      </c>
      <c r="B220" s="67">
        <v>54.7</v>
      </c>
      <c r="C220" s="67">
        <v>43.1</v>
      </c>
      <c r="D220" s="76">
        <v>39.799999999999997</v>
      </c>
      <c r="E220" s="67">
        <v>64.2</v>
      </c>
      <c r="F220" s="67">
        <v>50.6</v>
      </c>
      <c r="G220" s="76">
        <v>46.8</v>
      </c>
      <c r="H220" s="67">
        <v>51</v>
      </c>
      <c r="I220" s="67">
        <v>40.200000000000003</v>
      </c>
      <c r="J220" s="76">
        <v>37.1</v>
      </c>
      <c r="K220" s="68">
        <v>73.3</v>
      </c>
      <c r="L220" s="68">
        <v>57.8</v>
      </c>
      <c r="M220" s="70">
        <v>53.5</v>
      </c>
    </row>
    <row r="221" spans="1:13">
      <c r="A221" s="69">
        <v>36646</v>
      </c>
      <c r="B221" s="77">
        <v>55.5</v>
      </c>
      <c r="C221" s="77">
        <v>42.9</v>
      </c>
      <c r="D221" s="78">
        <v>39.6</v>
      </c>
      <c r="E221" s="77">
        <v>67.400000000000006</v>
      </c>
      <c r="F221" s="77">
        <v>52.2</v>
      </c>
      <c r="G221" s="78">
        <v>48.2</v>
      </c>
      <c r="H221" s="77">
        <v>51</v>
      </c>
      <c r="I221" s="77">
        <v>39.4</v>
      </c>
      <c r="J221" s="78">
        <v>36.4</v>
      </c>
      <c r="K221" s="79">
        <v>70.599999999999994</v>
      </c>
      <c r="L221" s="79">
        <v>54.6</v>
      </c>
      <c r="M221" s="80">
        <v>50.5</v>
      </c>
    </row>
    <row r="222" spans="1:13">
      <c r="A222" s="69">
        <v>36677</v>
      </c>
      <c r="B222" s="67">
        <v>58</v>
      </c>
      <c r="C222" s="67">
        <v>44.4</v>
      </c>
      <c r="D222" s="76">
        <v>40</v>
      </c>
      <c r="E222" s="67">
        <v>70.900000000000006</v>
      </c>
      <c r="F222" s="67">
        <v>54.4</v>
      </c>
      <c r="G222" s="76">
        <v>49.1</v>
      </c>
      <c r="H222" s="67">
        <v>53.2</v>
      </c>
      <c r="I222" s="67">
        <v>40.700000000000003</v>
      </c>
      <c r="J222" s="76">
        <v>36.700000000000003</v>
      </c>
      <c r="K222" s="68">
        <v>74.3</v>
      </c>
      <c r="L222" s="68">
        <v>56.9</v>
      </c>
      <c r="M222" s="70">
        <v>51.4</v>
      </c>
    </row>
    <row r="223" spans="1:13">
      <c r="A223" s="69">
        <v>36707</v>
      </c>
      <c r="B223" s="77">
        <v>57.6</v>
      </c>
      <c r="C223" s="77">
        <v>44.5</v>
      </c>
      <c r="D223" s="78">
        <v>40.799999999999997</v>
      </c>
      <c r="E223" s="77">
        <v>69.5</v>
      </c>
      <c r="F223" s="77">
        <v>53.9</v>
      </c>
      <c r="G223" s="78">
        <v>49.4</v>
      </c>
      <c r="H223" s="77">
        <v>53.1</v>
      </c>
      <c r="I223" s="77">
        <v>41</v>
      </c>
      <c r="J223" s="78">
        <v>37.6</v>
      </c>
      <c r="K223" s="79">
        <v>71.3</v>
      </c>
      <c r="L223" s="79">
        <v>55.2</v>
      </c>
      <c r="M223" s="80">
        <v>50.6</v>
      </c>
    </row>
    <row r="224" spans="1:13">
      <c r="A224" s="69">
        <v>36738</v>
      </c>
      <c r="B224" s="67">
        <v>58.3</v>
      </c>
      <c r="C224" s="67">
        <v>45</v>
      </c>
      <c r="D224" s="76">
        <v>41</v>
      </c>
      <c r="E224" s="67">
        <v>71.2</v>
      </c>
      <c r="F224" s="67">
        <v>55</v>
      </c>
      <c r="G224" s="76">
        <v>50.2</v>
      </c>
      <c r="H224" s="67">
        <v>53.6</v>
      </c>
      <c r="I224" s="67">
        <v>41.3</v>
      </c>
      <c r="J224" s="76">
        <v>37.6</v>
      </c>
      <c r="K224" s="68">
        <v>73.900000000000006</v>
      </c>
      <c r="L224" s="68">
        <v>57</v>
      </c>
      <c r="M224" s="70">
        <v>52</v>
      </c>
    </row>
    <row r="225" spans="1:13">
      <c r="A225" s="69">
        <v>36769</v>
      </c>
      <c r="B225" s="77">
        <v>59.1</v>
      </c>
      <c r="C225" s="77">
        <v>45.5</v>
      </c>
      <c r="D225" s="78">
        <v>41</v>
      </c>
      <c r="E225" s="77">
        <v>72.900000000000006</v>
      </c>
      <c r="F225" s="77">
        <v>56.2</v>
      </c>
      <c r="G225" s="78">
        <v>50.7</v>
      </c>
      <c r="H225" s="77">
        <v>54</v>
      </c>
      <c r="I225" s="77">
        <v>41.6</v>
      </c>
      <c r="J225" s="78">
        <v>37.5</v>
      </c>
      <c r="K225" s="79">
        <v>74.5</v>
      </c>
      <c r="L225" s="79">
        <v>57.4</v>
      </c>
      <c r="M225" s="80">
        <v>51.8</v>
      </c>
    </row>
    <row r="226" spans="1:13">
      <c r="A226" s="69">
        <v>36799</v>
      </c>
      <c r="B226" s="67">
        <v>62.5</v>
      </c>
      <c r="C226" s="67">
        <v>46.4</v>
      </c>
      <c r="D226" s="76">
        <v>41.3</v>
      </c>
      <c r="E226" s="67">
        <v>74.8</v>
      </c>
      <c r="F226" s="67">
        <v>55.6</v>
      </c>
      <c r="G226" s="76">
        <v>49.6</v>
      </c>
      <c r="H226" s="67">
        <v>57.8</v>
      </c>
      <c r="I226" s="67">
        <v>42.9</v>
      </c>
      <c r="J226" s="76">
        <v>38.200000000000003</v>
      </c>
      <c r="K226" s="68">
        <v>82.1</v>
      </c>
      <c r="L226" s="68">
        <v>61</v>
      </c>
      <c r="M226" s="70">
        <v>54.4</v>
      </c>
    </row>
    <row r="227" spans="1:13">
      <c r="A227" s="69">
        <v>36830</v>
      </c>
      <c r="B227" s="77">
        <v>65</v>
      </c>
      <c r="C227" s="77">
        <v>46.3</v>
      </c>
      <c r="D227" s="78">
        <v>41</v>
      </c>
      <c r="E227" s="77">
        <v>79.099999999999994</v>
      </c>
      <c r="F227" s="77">
        <v>56.4</v>
      </c>
      <c r="G227" s="78">
        <v>50.1</v>
      </c>
      <c r="H227" s="77">
        <v>59.7</v>
      </c>
      <c r="I227" s="77">
        <v>42.5</v>
      </c>
      <c r="J227" s="78">
        <v>37.6</v>
      </c>
      <c r="K227" s="79">
        <v>80.400000000000006</v>
      </c>
      <c r="L227" s="79">
        <v>57.3</v>
      </c>
      <c r="M227" s="80">
        <v>50.8</v>
      </c>
    </row>
    <row r="228" spans="1:13">
      <c r="A228" s="69">
        <v>36860</v>
      </c>
      <c r="B228" s="67">
        <v>64.900000000000006</v>
      </c>
      <c r="C228" s="67">
        <v>45.9</v>
      </c>
      <c r="D228" s="76">
        <v>40.5</v>
      </c>
      <c r="E228" s="67">
        <v>79.599999999999994</v>
      </c>
      <c r="F228" s="67">
        <v>56.3</v>
      </c>
      <c r="G228" s="76">
        <v>49.8</v>
      </c>
      <c r="H228" s="67">
        <v>59.5</v>
      </c>
      <c r="I228" s="67">
        <v>42</v>
      </c>
      <c r="J228" s="76">
        <v>37</v>
      </c>
      <c r="K228" s="68">
        <v>79.099999999999994</v>
      </c>
      <c r="L228" s="68">
        <v>55.9</v>
      </c>
      <c r="M228" s="70">
        <v>49.4</v>
      </c>
    </row>
    <row r="229" spans="1:13">
      <c r="A229" s="69">
        <v>36891</v>
      </c>
      <c r="B229" s="77">
        <v>62</v>
      </c>
      <c r="C229" s="77">
        <v>45.5</v>
      </c>
      <c r="D229" s="78">
        <v>40.5</v>
      </c>
      <c r="E229" s="77">
        <v>76.8</v>
      </c>
      <c r="F229" s="77">
        <v>56.5</v>
      </c>
      <c r="G229" s="78">
        <v>50.3</v>
      </c>
      <c r="H229" s="77">
        <v>56.6</v>
      </c>
      <c r="I229" s="77">
        <v>41.5</v>
      </c>
      <c r="J229" s="78">
        <v>37</v>
      </c>
      <c r="K229" s="79">
        <v>78.400000000000006</v>
      </c>
      <c r="L229" s="79">
        <v>57.6</v>
      </c>
      <c r="M229" s="80">
        <v>51.4</v>
      </c>
    </row>
    <row r="230" spans="1:13">
      <c r="A230" s="69">
        <v>36922</v>
      </c>
      <c r="B230" s="67">
        <v>61.5</v>
      </c>
      <c r="C230" s="67">
        <v>45.5</v>
      </c>
      <c r="D230" s="76">
        <v>40.799999999999997</v>
      </c>
      <c r="E230" s="67">
        <v>77</v>
      </c>
      <c r="F230" s="67">
        <v>57.1</v>
      </c>
      <c r="G230" s="76">
        <v>51.2</v>
      </c>
      <c r="H230" s="67">
        <v>55.8</v>
      </c>
      <c r="I230" s="67">
        <v>41.3</v>
      </c>
      <c r="J230" s="76">
        <v>37</v>
      </c>
      <c r="K230" s="68">
        <v>77.900000000000006</v>
      </c>
      <c r="L230" s="68">
        <v>57.7</v>
      </c>
      <c r="M230" s="70">
        <v>51.8</v>
      </c>
    </row>
    <row r="231" spans="1:13">
      <c r="A231" s="69">
        <v>36950</v>
      </c>
      <c r="B231" s="77">
        <v>64.099999999999994</v>
      </c>
      <c r="C231" s="77">
        <v>46</v>
      </c>
      <c r="D231" s="78">
        <v>40.9</v>
      </c>
      <c r="E231" s="77">
        <v>79.900000000000006</v>
      </c>
      <c r="F231" s="77">
        <v>57.4</v>
      </c>
      <c r="G231" s="78">
        <v>51.2</v>
      </c>
      <c r="H231" s="77">
        <v>58.3</v>
      </c>
      <c r="I231" s="77">
        <v>41.8</v>
      </c>
      <c r="J231" s="78">
        <v>37.200000000000003</v>
      </c>
      <c r="K231" s="79">
        <v>80.099999999999994</v>
      </c>
      <c r="L231" s="79">
        <v>57.5</v>
      </c>
      <c r="M231" s="80">
        <v>51.3</v>
      </c>
    </row>
    <row r="232" spans="1:13">
      <c r="A232" s="69">
        <v>36981</v>
      </c>
      <c r="B232" s="67">
        <v>66.7</v>
      </c>
      <c r="C232" s="67">
        <v>45.6</v>
      </c>
      <c r="D232" s="76">
        <v>40.200000000000003</v>
      </c>
      <c r="E232" s="67">
        <v>85.6</v>
      </c>
      <c r="F232" s="67">
        <v>58.6</v>
      </c>
      <c r="G232" s="76">
        <v>51.7</v>
      </c>
      <c r="H232" s="67">
        <v>59.9</v>
      </c>
      <c r="I232" s="67">
        <v>40.9</v>
      </c>
      <c r="J232" s="76">
        <v>36.1</v>
      </c>
      <c r="K232" s="68">
        <v>81.099999999999994</v>
      </c>
      <c r="L232" s="68">
        <v>55.5</v>
      </c>
      <c r="M232" s="70">
        <v>49</v>
      </c>
    </row>
    <row r="233" spans="1:13">
      <c r="A233" s="69">
        <v>37011</v>
      </c>
      <c r="B233" s="77">
        <v>68</v>
      </c>
      <c r="C233" s="77">
        <v>46.6</v>
      </c>
      <c r="D233" s="78">
        <v>40.700000000000003</v>
      </c>
      <c r="E233" s="77">
        <v>85.4</v>
      </c>
      <c r="F233" s="77">
        <v>58.6</v>
      </c>
      <c r="G233" s="78">
        <v>51.2</v>
      </c>
      <c r="H233" s="77">
        <v>61.7</v>
      </c>
      <c r="I233" s="77">
        <v>42.3</v>
      </c>
      <c r="J233" s="78">
        <v>36.9</v>
      </c>
      <c r="K233" s="79">
        <v>80.599999999999994</v>
      </c>
      <c r="L233" s="79">
        <v>55.3</v>
      </c>
      <c r="M233" s="80">
        <v>48.3</v>
      </c>
    </row>
    <row r="234" spans="1:13">
      <c r="A234" s="69">
        <v>37042</v>
      </c>
      <c r="B234" s="67">
        <v>67.3</v>
      </c>
      <c r="C234" s="67">
        <v>48.1</v>
      </c>
      <c r="D234" s="76">
        <v>41.8</v>
      </c>
      <c r="E234" s="67">
        <v>82.1</v>
      </c>
      <c r="F234" s="67">
        <v>58.7</v>
      </c>
      <c r="G234" s="76">
        <v>51.1</v>
      </c>
      <c r="H234" s="67">
        <v>61.8</v>
      </c>
      <c r="I234" s="67">
        <v>44.1</v>
      </c>
      <c r="J234" s="76">
        <v>38.299999999999997</v>
      </c>
      <c r="K234" s="68">
        <v>79.599999999999994</v>
      </c>
      <c r="L234" s="68">
        <v>56.9</v>
      </c>
      <c r="M234" s="70">
        <v>49.5</v>
      </c>
    </row>
    <row r="235" spans="1:13">
      <c r="A235" s="69">
        <v>37072</v>
      </c>
      <c r="B235" s="77">
        <v>67</v>
      </c>
      <c r="C235" s="77">
        <v>48.1</v>
      </c>
      <c r="D235" s="78">
        <v>41.4</v>
      </c>
      <c r="E235" s="77">
        <v>81.2</v>
      </c>
      <c r="F235" s="77">
        <v>58.4</v>
      </c>
      <c r="G235" s="78">
        <v>50.4</v>
      </c>
      <c r="H235" s="77">
        <v>61.7</v>
      </c>
      <c r="I235" s="77">
        <v>44.3</v>
      </c>
      <c r="J235" s="78">
        <v>38.1</v>
      </c>
      <c r="K235" s="79">
        <v>76.099999999999994</v>
      </c>
      <c r="L235" s="79">
        <v>54.7</v>
      </c>
      <c r="M235" s="80">
        <v>47.2</v>
      </c>
    </row>
    <row r="236" spans="1:13">
      <c r="A236" s="69">
        <v>37103</v>
      </c>
      <c r="B236" s="67">
        <v>67.400000000000006</v>
      </c>
      <c r="C236" s="67">
        <v>47.6</v>
      </c>
      <c r="D236" s="76">
        <v>41</v>
      </c>
      <c r="E236" s="67">
        <v>81.900000000000006</v>
      </c>
      <c r="F236" s="67">
        <v>58</v>
      </c>
      <c r="G236" s="76">
        <v>50</v>
      </c>
      <c r="H236" s="67">
        <v>61.9</v>
      </c>
      <c r="I236" s="67">
        <v>43.8</v>
      </c>
      <c r="J236" s="76">
        <v>37.700000000000003</v>
      </c>
      <c r="K236" s="68">
        <v>74</v>
      </c>
      <c r="L236" s="68">
        <v>52.4</v>
      </c>
      <c r="M236" s="70">
        <v>45.2</v>
      </c>
    </row>
    <row r="237" spans="1:13">
      <c r="A237" s="69">
        <v>37134</v>
      </c>
      <c r="B237" s="77">
        <v>65.900000000000006</v>
      </c>
      <c r="C237" s="77">
        <v>47.1</v>
      </c>
      <c r="D237" s="78">
        <v>41.3</v>
      </c>
      <c r="E237" s="77">
        <v>80.400000000000006</v>
      </c>
      <c r="F237" s="77">
        <v>57.5</v>
      </c>
      <c r="G237" s="78">
        <v>50.5</v>
      </c>
      <c r="H237" s="77">
        <v>60.5</v>
      </c>
      <c r="I237" s="77">
        <v>43.2</v>
      </c>
      <c r="J237" s="78">
        <v>37.9</v>
      </c>
      <c r="K237" s="79">
        <v>69.599999999999994</v>
      </c>
      <c r="L237" s="79">
        <v>49.8</v>
      </c>
      <c r="M237" s="80">
        <v>43.7</v>
      </c>
    </row>
    <row r="238" spans="1:13">
      <c r="A238" s="69">
        <v>37164</v>
      </c>
      <c r="B238" s="67">
        <v>68.599999999999994</v>
      </c>
      <c r="C238" s="67">
        <v>46.8</v>
      </c>
      <c r="D238" s="76">
        <v>41.4</v>
      </c>
      <c r="E238" s="67">
        <v>84.3</v>
      </c>
      <c r="F238" s="67">
        <v>57.7</v>
      </c>
      <c r="G238" s="76">
        <v>51.1</v>
      </c>
      <c r="H238" s="67">
        <v>62.8</v>
      </c>
      <c r="I238" s="67">
        <v>42.8</v>
      </c>
      <c r="J238" s="76">
        <v>37.9</v>
      </c>
      <c r="K238" s="68">
        <v>69.5</v>
      </c>
      <c r="L238" s="68">
        <v>47.5</v>
      </c>
      <c r="M238" s="70">
        <v>42.1</v>
      </c>
    </row>
    <row r="239" spans="1:13">
      <c r="A239" s="69">
        <v>37195</v>
      </c>
      <c r="B239" s="77">
        <v>65.8</v>
      </c>
      <c r="C239" s="77">
        <v>45</v>
      </c>
      <c r="D239" s="78">
        <v>39.6</v>
      </c>
      <c r="E239" s="77">
        <v>78.900000000000006</v>
      </c>
      <c r="F239" s="77">
        <v>54.1</v>
      </c>
      <c r="G239" s="78">
        <v>47.7</v>
      </c>
      <c r="H239" s="77">
        <v>60.7</v>
      </c>
      <c r="I239" s="77">
        <v>41.5</v>
      </c>
      <c r="J239" s="78">
        <v>36.5</v>
      </c>
      <c r="K239" s="79">
        <v>66.8</v>
      </c>
      <c r="L239" s="79">
        <v>45.7</v>
      </c>
      <c r="M239" s="80">
        <v>40.299999999999997</v>
      </c>
    </row>
    <row r="240" spans="1:13">
      <c r="A240" s="69">
        <v>37225</v>
      </c>
      <c r="B240" s="67">
        <v>64.400000000000006</v>
      </c>
      <c r="C240" s="67">
        <v>45.5</v>
      </c>
      <c r="D240" s="76">
        <v>39.700000000000003</v>
      </c>
      <c r="E240" s="67">
        <v>79</v>
      </c>
      <c r="F240" s="67">
        <v>55.9</v>
      </c>
      <c r="G240" s="76">
        <v>48.9</v>
      </c>
      <c r="H240" s="67">
        <v>59</v>
      </c>
      <c r="I240" s="67">
        <v>41.7</v>
      </c>
      <c r="J240" s="76">
        <v>36.4</v>
      </c>
      <c r="K240" s="68">
        <v>67.900000000000006</v>
      </c>
      <c r="L240" s="68">
        <v>48</v>
      </c>
      <c r="M240" s="70">
        <v>42</v>
      </c>
    </row>
    <row r="241" spans="1:13">
      <c r="A241" s="69">
        <v>37256</v>
      </c>
      <c r="B241" s="77">
        <v>64.7</v>
      </c>
      <c r="C241" s="77">
        <v>45.6</v>
      </c>
      <c r="D241" s="78">
        <v>39.700000000000003</v>
      </c>
      <c r="E241" s="77">
        <v>81.2</v>
      </c>
      <c r="F241" s="77">
        <v>57.4</v>
      </c>
      <c r="G241" s="78">
        <v>50</v>
      </c>
      <c r="H241" s="77">
        <v>58.8</v>
      </c>
      <c r="I241" s="77">
        <v>41.4</v>
      </c>
      <c r="J241" s="78">
        <v>36</v>
      </c>
      <c r="K241" s="79">
        <v>69.400000000000006</v>
      </c>
      <c r="L241" s="79">
        <v>49</v>
      </c>
      <c r="M241" s="80">
        <v>42.7</v>
      </c>
    </row>
    <row r="242" spans="1:13">
      <c r="A242" s="69">
        <v>37287</v>
      </c>
      <c r="B242" s="67">
        <v>65</v>
      </c>
      <c r="C242" s="67">
        <v>46.4</v>
      </c>
      <c r="D242" s="76">
        <v>40.1</v>
      </c>
      <c r="E242" s="67">
        <v>82.5</v>
      </c>
      <c r="F242" s="67">
        <v>59</v>
      </c>
      <c r="G242" s="76">
        <v>51.1</v>
      </c>
      <c r="H242" s="67">
        <v>58.8</v>
      </c>
      <c r="I242" s="67">
        <v>42</v>
      </c>
      <c r="J242" s="76">
        <v>36.200000000000003</v>
      </c>
      <c r="K242" s="68">
        <v>71.599999999999994</v>
      </c>
      <c r="L242" s="68">
        <v>51.2</v>
      </c>
      <c r="M242" s="70">
        <v>44.3</v>
      </c>
    </row>
    <row r="243" spans="1:13">
      <c r="A243" s="69">
        <v>37315</v>
      </c>
      <c r="B243" s="77">
        <v>65.2</v>
      </c>
      <c r="C243" s="77">
        <v>46.6</v>
      </c>
      <c r="D243" s="78">
        <v>39.9</v>
      </c>
      <c r="E243" s="77">
        <v>81.7</v>
      </c>
      <c r="F243" s="77">
        <v>58.5</v>
      </c>
      <c r="G243" s="78">
        <v>50.2</v>
      </c>
      <c r="H243" s="77">
        <v>59.3</v>
      </c>
      <c r="I243" s="77">
        <v>42.3</v>
      </c>
      <c r="J243" s="78">
        <v>36.200000000000003</v>
      </c>
      <c r="K243" s="79">
        <v>72.2</v>
      </c>
      <c r="L243" s="79">
        <v>51.7</v>
      </c>
      <c r="M243" s="80">
        <v>44.3</v>
      </c>
    </row>
    <row r="244" spans="1:13">
      <c r="A244" s="69">
        <v>37346</v>
      </c>
      <c r="B244" s="67">
        <v>65.400000000000006</v>
      </c>
      <c r="C244" s="67">
        <v>47.6</v>
      </c>
      <c r="D244" s="76">
        <v>40.9</v>
      </c>
      <c r="E244" s="67">
        <v>82</v>
      </c>
      <c r="F244" s="67">
        <v>59.8</v>
      </c>
      <c r="G244" s="76">
        <v>51.5</v>
      </c>
      <c r="H244" s="67">
        <v>59.4</v>
      </c>
      <c r="I244" s="67">
        <v>43.2</v>
      </c>
      <c r="J244" s="76">
        <v>37.200000000000003</v>
      </c>
      <c r="K244" s="68">
        <v>73.3</v>
      </c>
      <c r="L244" s="68">
        <v>53.4</v>
      </c>
      <c r="M244" s="70">
        <v>46</v>
      </c>
    </row>
    <row r="245" spans="1:13">
      <c r="A245" s="69">
        <v>37376</v>
      </c>
      <c r="B245" s="77">
        <v>64.400000000000006</v>
      </c>
      <c r="C245" s="77">
        <v>47.6</v>
      </c>
      <c r="D245" s="78">
        <v>41.1</v>
      </c>
      <c r="E245" s="77">
        <v>78.2</v>
      </c>
      <c r="F245" s="77">
        <v>57.9</v>
      </c>
      <c r="G245" s="78">
        <v>50.1</v>
      </c>
      <c r="H245" s="77">
        <v>59.2</v>
      </c>
      <c r="I245" s="77">
        <v>43.7</v>
      </c>
      <c r="J245" s="78">
        <v>37.799999999999997</v>
      </c>
      <c r="K245" s="79">
        <v>71.400000000000006</v>
      </c>
      <c r="L245" s="79">
        <v>52.8</v>
      </c>
      <c r="M245" s="80">
        <v>45.7</v>
      </c>
    </row>
    <row r="246" spans="1:13">
      <c r="A246" s="69">
        <v>37407</v>
      </c>
      <c r="B246" s="67">
        <v>62.4</v>
      </c>
      <c r="C246" s="67">
        <v>46.6</v>
      </c>
      <c r="D246" s="76">
        <v>41</v>
      </c>
      <c r="E246" s="67">
        <v>74.400000000000006</v>
      </c>
      <c r="F246" s="67">
        <v>55.7</v>
      </c>
      <c r="G246" s="76">
        <v>49</v>
      </c>
      <c r="H246" s="67">
        <v>57.8</v>
      </c>
      <c r="I246" s="67">
        <v>43.1</v>
      </c>
      <c r="J246" s="76">
        <v>37.9</v>
      </c>
      <c r="K246" s="68">
        <v>68.099999999999994</v>
      </c>
      <c r="L246" s="68">
        <v>51</v>
      </c>
      <c r="M246" s="70">
        <v>44.8</v>
      </c>
    </row>
    <row r="247" spans="1:13">
      <c r="A247" s="69">
        <v>37437</v>
      </c>
      <c r="B247" s="77">
        <v>60.7</v>
      </c>
      <c r="C247" s="77">
        <v>46.2</v>
      </c>
      <c r="D247" s="78">
        <v>41.2</v>
      </c>
      <c r="E247" s="77">
        <v>73.599999999999994</v>
      </c>
      <c r="F247" s="77">
        <v>56.1</v>
      </c>
      <c r="G247" s="78">
        <v>50.2</v>
      </c>
      <c r="H247" s="77">
        <v>55.8</v>
      </c>
      <c r="I247" s="77">
        <v>42.4</v>
      </c>
      <c r="J247" s="78">
        <v>37.9</v>
      </c>
      <c r="K247" s="79">
        <v>67.099999999999994</v>
      </c>
      <c r="L247" s="79">
        <v>51.1</v>
      </c>
      <c r="M247" s="80">
        <v>45.7</v>
      </c>
    </row>
    <row r="248" spans="1:13">
      <c r="A248" s="69">
        <v>37468</v>
      </c>
      <c r="B248" s="67">
        <v>63</v>
      </c>
      <c r="C248" s="67">
        <v>45.5</v>
      </c>
      <c r="D248" s="76">
        <v>41.7</v>
      </c>
      <c r="E248" s="67">
        <v>79.400000000000006</v>
      </c>
      <c r="F248" s="67">
        <v>57.4</v>
      </c>
      <c r="G248" s="76">
        <v>52.7</v>
      </c>
      <c r="H248" s="67">
        <v>57.2</v>
      </c>
      <c r="I248" s="67">
        <v>41.3</v>
      </c>
      <c r="J248" s="76">
        <v>37.799999999999997</v>
      </c>
      <c r="K248" s="68">
        <v>68.2</v>
      </c>
      <c r="L248" s="68">
        <v>49.3</v>
      </c>
      <c r="M248" s="70">
        <v>45.2</v>
      </c>
    </row>
    <row r="249" spans="1:13">
      <c r="A249" s="69">
        <v>37499</v>
      </c>
      <c r="B249" s="77">
        <v>64.599999999999994</v>
      </c>
      <c r="C249" s="77">
        <v>46</v>
      </c>
      <c r="D249" s="78">
        <v>41.8</v>
      </c>
      <c r="E249" s="77">
        <v>83.7</v>
      </c>
      <c r="F249" s="77">
        <v>59.7</v>
      </c>
      <c r="G249" s="78">
        <v>54.4</v>
      </c>
      <c r="H249" s="77">
        <v>58</v>
      </c>
      <c r="I249" s="77">
        <v>41.3</v>
      </c>
      <c r="J249" s="78">
        <v>37.5</v>
      </c>
      <c r="K249" s="79">
        <v>66.5</v>
      </c>
      <c r="L249" s="79">
        <v>47.4</v>
      </c>
      <c r="M249" s="80">
        <v>43.1</v>
      </c>
    </row>
    <row r="250" spans="1:13">
      <c r="A250" s="69">
        <v>37529</v>
      </c>
      <c r="B250" s="67">
        <v>65.5</v>
      </c>
      <c r="C250" s="67">
        <v>47</v>
      </c>
      <c r="D250" s="76">
        <v>42.8</v>
      </c>
      <c r="E250" s="67">
        <v>89.2</v>
      </c>
      <c r="F250" s="67">
        <v>64.099999999999994</v>
      </c>
      <c r="G250" s="76">
        <v>58.5</v>
      </c>
      <c r="H250" s="67">
        <v>57.7</v>
      </c>
      <c r="I250" s="67">
        <v>41.4</v>
      </c>
      <c r="J250" s="76">
        <v>37.6</v>
      </c>
      <c r="K250" s="68">
        <v>66</v>
      </c>
      <c r="L250" s="68">
        <v>47.4</v>
      </c>
      <c r="M250" s="70">
        <v>43.2</v>
      </c>
    </row>
    <row r="251" spans="1:13">
      <c r="A251" s="69">
        <v>37560</v>
      </c>
      <c r="B251" s="77">
        <v>66.099999999999994</v>
      </c>
      <c r="C251" s="77">
        <v>47.8</v>
      </c>
      <c r="D251" s="78">
        <v>43.4</v>
      </c>
      <c r="E251" s="77">
        <v>92.8</v>
      </c>
      <c r="F251" s="77">
        <v>67.2</v>
      </c>
      <c r="G251" s="78">
        <v>61.1</v>
      </c>
      <c r="H251" s="77">
        <v>57.5</v>
      </c>
      <c r="I251" s="77">
        <v>41.6</v>
      </c>
      <c r="J251" s="78">
        <v>37.700000000000003</v>
      </c>
      <c r="K251" s="79">
        <v>66.2</v>
      </c>
      <c r="L251" s="79">
        <v>47.9</v>
      </c>
      <c r="M251" s="80">
        <v>43.5</v>
      </c>
    </row>
    <row r="252" spans="1:13">
      <c r="A252" s="69">
        <v>37590</v>
      </c>
      <c r="B252" s="67">
        <v>65.5</v>
      </c>
      <c r="C252" s="67">
        <v>47.9</v>
      </c>
      <c r="D252" s="76">
        <v>43.9</v>
      </c>
      <c r="E252" s="67">
        <v>90.7</v>
      </c>
      <c r="F252" s="67">
        <v>66.400000000000006</v>
      </c>
      <c r="G252" s="76">
        <v>60.9</v>
      </c>
      <c r="H252" s="67">
        <v>57.3</v>
      </c>
      <c r="I252" s="67">
        <v>41.9</v>
      </c>
      <c r="J252" s="76">
        <v>38.299999999999997</v>
      </c>
      <c r="K252" s="68">
        <v>68.3</v>
      </c>
      <c r="L252" s="68">
        <v>50</v>
      </c>
      <c r="M252" s="70">
        <v>45.9</v>
      </c>
    </row>
    <row r="253" spans="1:13">
      <c r="A253" s="69">
        <v>37621</v>
      </c>
      <c r="B253" s="77">
        <v>65.8</v>
      </c>
      <c r="C253" s="77">
        <v>48</v>
      </c>
      <c r="D253" s="78">
        <v>44.2</v>
      </c>
      <c r="E253" s="77">
        <v>89.4</v>
      </c>
      <c r="F253" s="77">
        <v>65.3</v>
      </c>
      <c r="G253" s="78">
        <v>60.3</v>
      </c>
      <c r="H253" s="77">
        <v>58</v>
      </c>
      <c r="I253" s="77">
        <v>42.3</v>
      </c>
      <c r="J253" s="78">
        <v>39</v>
      </c>
      <c r="K253" s="79">
        <v>68.099999999999994</v>
      </c>
      <c r="L253" s="79">
        <v>49.8</v>
      </c>
      <c r="M253" s="80">
        <v>45.9</v>
      </c>
    </row>
    <row r="254" spans="1:13">
      <c r="A254" s="69">
        <v>37652</v>
      </c>
      <c r="B254" s="67">
        <v>64.599999999999994</v>
      </c>
      <c r="C254" s="67">
        <v>47.7</v>
      </c>
      <c r="D254" s="76">
        <v>44.8</v>
      </c>
      <c r="E254" s="67">
        <v>85.2</v>
      </c>
      <c r="F254" s="67">
        <v>63.2</v>
      </c>
      <c r="G254" s="76">
        <v>59.4</v>
      </c>
      <c r="H254" s="67">
        <v>57.6</v>
      </c>
      <c r="I254" s="67">
        <v>42.6</v>
      </c>
      <c r="J254" s="76">
        <v>40</v>
      </c>
      <c r="K254" s="68">
        <v>67.7</v>
      </c>
      <c r="L254" s="68">
        <v>50.1</v>
      </c>
      <c r="M254" s="70">
        <v>47.1</v>
      </c>
    </row>
    <row r="255" spans="1:13">
      <c r="A255" s="69">
        <v>37680</v>
      </c>
      <c r="B255" s="77">
        <v>64.400000000000006</v>
      </c>
      <c r="C255" s="77">
        <v>48.5</v>
      </c>
      <c r="D255" s="78">
        <v>45.7</v>
      </c>
      <c r="E255" s="77">
        <v>84.6</v>
      </c>
      <c r="F255" s="77">
        <v>63.8</v>
      </c>
      <c r="G255" s="78">
        <v>60.2</v>
      </c>
      <c r="H255" s="77">
        <v>57.6</v>
      </c>
      <c r="I255" s="77">
        <v>43.3</v>
      </c>
      <c r="J255" s="78">
        <v>40.799999999999997</v>
      </c>
      <c r="K255" s="79">
        <v>68.8</v>
      </c>
      <c r="L255" s="79">
        <v>51.8</v>
      </c>
      <c r="M255" s="80">
        <v>49</v>
      </c>
    </row>
    <row r="256" spans="1:13">
      <c r="A256" s="69">
        <v>37711</v>
      </c>
      <c r="B256" s="67">
        <v>62.3</v>
      </c>
      <c r="C256" s="67">
        <v>47.5</v>
      </c>
      <c r="D256" s="76">
        <v>44.8</v>
      </c>
      <c r="E256" s="67">
        <v>83.1</v>
      </c>
      <c r="F256" s="67">
        <v>63.5</v>
      </c>
      <c r="G256" s="76">
        <v>59.9</v>
      </c>
      <c r="H256" s="67">
        <v>55.3</v>
      </c>
      <c r="I256" s="67">
        <v>42.1</v>
      </c>
      <c r="J256" s="76">
        <v>39.700000000000003</v>
      </c>
      <c r="K256" s="68">
        <v>66.400000000000006</v>
      </c>
      <c r="L256" s="68">
        <v>50.7</v>
      </c>
      <c r="M256" s="70">
        <v>47.9</v>
      </c>
    </row>
    <row r="257" spans="1:13">
      <c r="A257" s="69">
        <v>37741</v>
      </c>
      <c r="B257" s="77">
        <v>59.9</v>
      </c>
      <c r="C257" s="77">
        <v>46.3</v>
      </c>
      <c r="D257" s="78">
        <v>43.6</v>
      </c>
      <c r="E257" s="77">
        <v>80.2</v>
      </c>
      <c r="F257" s="77">
        <v>62.1</v>
      </c>
      <c r="G257" s="78">
        <v>58.6</v>
      </c>
      <c r="H257" s="77">
        <v>53.1</v>
      </c>
      <c r="I257" s="77">
        <v>41</v>
      </c>
      <c r="J257" s="78">
        <v>38.6</v>
      </c>
      <c r="K257" s="79">
        <v>63</v>
      </c>
      <c r="L257" s="79">
        <v>48.8</v>
      </c>
      <c r="M257" s="80">
        <v>46</v>
      </c>
    </row>
    <row r="258" spans="1:13">
      <c r="A258" s="69">
        <v>37772</v>
      </c>
      <c r="B258" s="67">
        <v>56.6</v>
      </c>
      <c r="C258" s="67">
        <v>45.1</v>
      </c>
      <c r="D258" s="76">
        <v>43.7</v>
      </c>
      <c r="E258" s="67">
        <v>72.099999999999994</v>
      </c>
      <c r="F258" s="67">
        <v>57.6</v>
      </c>
      <c r="G258" s="76">
        <v>55.8</v>
      </c>
      <c r="H258" s="67">
        <v>51.1</v>
      </c>
      <c r="I258" s="67">
        <v>40.700000000000003</v>
      </c>
      <c r="J258" s="76">
        <v>39.4</v>
      </c>
      <c r="K258" s="68">
        <v>62</v>
      </c>
      <c r="L258" s="68">
        <v>49.5</v>
      </c>
      <c r="M258" s="70">
        <v>48</v>
      </c>
    </row>
    <row r="259" spans="1:13">
      <c r="A259" s="69">
        <v>37802</v>
      </c>
      <c r="B259" s="77">
        <v>55.5</v>
      </c>
      <c r="C259" s="77">
        <v>45.2</v>
      </c>
      <c r="D259" s="78">
        <v>44</v>
      </c>
      <c r="E259" s="77">
        <v>70</v>
      </c>
      <c r="F259" s="77">
        <v>57.1</v>
      </c>
      <c r="G259" s="78">
        <v>55.7</v>
      </c>
      <c r="H259" s="77">
        <v>50.4</v>
      </c>
      <c r="I259" s="77">
        <v>41</v>
      </c>
      <c r="J259" s="78">
        <v>39.9</v>
      </c>
      <c r="K259" s="79">
        <v>61.8</v>
      </c>
      <c r="L259" s="79">
        <v>50.3</v>
      </c>
      <c r="M259" s="80">
        <v>49.1</v>
      </c>
    </row>
    <row r="260" spans="1:13">
      <c r="A260" s="69">
        <v>37833</v>
      </c>
      <c r="B260" s="67">
        <v>56</v>
      </c>
      <c r="C260" s="67">
        <v>46</v>
      </c>
      <c r="D260" s="76">
        <v>44.2</v>
      </c>
      <c r="E260" s="67">
        <v>71.3</v>
      </c>
      <c r="F260" s="67">
        <v>58.6</v>
      </c>
      <c r="G260" s="76">
        <v>56.5</v>
      </c>
      <c r="H260" s="67">
        <v>50.7</v>
      </c>
      <c r="I260" s="67">
        <v>41.6</v>
      </c>
      <c r="J260" s="76">
        <v>40</v>
      </c>
      <c r="K260" s="68">
        <v>63.3</v>
      </c>
      <c r="L260" s="68">
        <v>52</v>
      </c>
      <c r="M260" s="70">
        <v>50.1</v>
      </c>
    </row>
    <row r="261" spans="1:13">
      <c r="A261" s="69">
        <v>37864</v>
      </c>
      <c r="B261" s="77">
        <v>58.1</v>
      </c>
      <c r="C261" s="77">
        <v>47.3</v>
      </c>
      <c r="D261" s="78">
        <v>45.1</v>
      </c>
      <c r="E261" s="77">
        <v>75.400000000000006</v>
      </c>
      <c r="F261" s="77">
        <v>61.5</v>
      </c>
      <c r="G261" s="78">
        <v>58.7</v>
      </c>
      <c r="H261" s="77">
        <v>52.1</v>
      </c>
      <c r="I261" s="77">
        <v>42.4</v>
      </c>
      <c r="J261" s="78">
        <v>40.5</v>
      </c>
      <c r="K261" s="79">
        <v>65.599999999999994</v>
      </c>
      <c r="L261" s="79">
        <v>53.5</v>
      </c>
      <c r="M261" s="80">
        <v>51.1</v>
      </c>
    </row>
    <row r="262" spans="1:13">
      <c r="A262" s="69">
        <v>37894</v>
      </c>
      <c r="B262" s="67">
        <v>57.8</v>
      </c>
      <c r="C262" s="67">
        <v>47.6</v>
      </c>
      <c r="D262" s="76">
        <v>45.6</v>
      </c>
      <c r="E262" s="67">
        <v>75.099999999999994</v>
      </c>
      <c r="F262" s="67">
        <v>61.9</v>
      </c>
      <c r="G262" s="76">
        <v>59.5</v>
      </c>
      <c r="H262" s="67">
        <v>51.8</v>
      </c>
      <c r="I262" s="67">
        <v>42.6</v>
      </c>
      <c r="J262" s="76">
        <v>40.9</v>
      </c>
      <c r="K262" s="68">
        <v>65.099999999999994</v>
      </c>
      <c r="L262" s="68">
        <v>53.6</v>
      </c>
      <c r="M262" s="70">
        <v>51.5</v>
      </c>
    </row>
    <row r="263" spans="1:13">
      <c r="A263" s="69">
        <v>37925</v>
      </c>
      <c r="B263" s="77">
        <v>56.8</v>
      </c>
      <c r="C263" s="77">
        <v>47.7</v>
      </c>
      <c r="D263" s="78">
        <v>47</v>
      </c>
      <c r="E263" s="77">
        <v>74.5</v>
      </c>
      <c r="F263" s="77">
        <v>62.7</v>
      </c>
      <c r="G263" s="78">
        <v>61.9</v>
      </c>
      <c r="H263" s="77">
        <v>50.8</v>
      </c>
      <c r="I263" s="77">
        <v>42.7</v>
      </c>
      <c r="J263" s="78">
        <v>42</v>
      </c>
      <c r="K263" s="79">
        <v>66.5</v>
      </c>
      <c r="L263" s="79">
        <v>56</v>
      </c>
      <c r="M263" s="80">
        <v>55.2</v>
      </c>
    </row>
    <row r="264" spans="1:13">
      <c r="A264" s="69">
        <v>37955</v>
      </c>
      <c r="B264" s="67">
        <v>56.2</v>
      </c>
      <c r="C264" s="67">
        <v>48.7</v>
      </c>
      <c r="D264" s="76">
        <v>48</v>
      </c>
      <c r="E264" s="67">
        <v>74.7</v>
      </c>
      <c r="F264" s="67">
        <v>64.8</v>
      </c>
      <c r="G264" s="76">
        <v>64</v>
      </c>
      <c r="H264" s="67">
        <v>50</v>
      </c>
      <c r="I264" s="67">
        <v>43.3</v>
      </c>
      <c r="J264" s="76">
        <v>42.6</v>
      </c>
      <c r="K264" s="68">
        <v>67.599999999999994</v>
      </c>
      <c r="L264" s="68">
        <v>58.6</v>
      </c>
      <c r="M264" s="70">
        <v>57.9</v>
      </c>
    </row>
    <row r="265" spans="1:13">
      <c r="A265" s="69">
        <v>37986</v>
      </c>
      <c r="B265" s="77">
        <v>55.6</v>
      </c>
      <c r="C265" s="77">
        <v>48.6</v>
      </c>
      <c r="D265" s="78">
        <v>49</v>
      </c>
      <c r="E265" s="77">
        <v>71.7</v>
      </c>
      <c r="F265" s="77">
        <v>62.7</v>
      </c>
      <c r="G265" s="78">
        <v>63.4</v>
      </c>
      <c r="H265" s="77">
        <v>50.1</v>
      </c>
      <c r="I265" s="77">
        <v>43.7</v>
      </c>
      <c r="J265" s="78">
        <v>44.1</v>
      </c>
      <c r="K265" s="79">
        <v>71.2</v>
      </c>
      <c r="L265" s="79">
        <v>62.3</v>
      </c>
      <c r="M265" s="80">
        <v>62.9</v>
      </c>
    </row>
    <row r="266" spans="1:13">
      <c r="A266" s="69">
        <v>38017</v>
      </c>
      <c r="B266" s="67">
        <v>55.7</v>
      </c>
      <c r="C266" s="67">
        <v>49.8</v>
      </c>
      <c r="D266" s="76">
        <v>51.1</v>
      </c>
      <c r="E266" s="67">
        <v>74.400000000000006</v>
      </c>
      <c r="F266" s="67">
        <v>66.599999999999994</v>
      </c>
      <c r="G266" s="76">
        <v>68.5</v>
      </c>
      <c r="H266" s="67">
        <v>49.5</v>
      </c>
      <c r="I266" s="67">
        <v>44.2</v>
      </c>
      <c r="J266" s="76">
        <v>45.3</v>
      </c>
      <c r="K266" s="68">
        <v>72</v>
      </c>
      <c r="L266" s="68">
        <v>64.5</v>
      </c>
      <c r="M266" s="70">
        <v>66.3</v>
      </c>
    </row>
    <row r="267" spans="1:13">
      <c r="A267" s="69">
        <v>38046</v>
      </c>
      <c r="B267" s="77">
        <v>55.6</v>
      </c>
      <c r="C267" s="77">
        <v>50.1</v>
      </c>
      <c r="D267" s="78">
        <v>51.6</v>
      </c>
      <c r="E267" s="77">
        <v>69</v>
      </c>
      <c r="F267" s="77">
        <v>62.3</v>
      </c>
      <c r="G267" s="78">
        <v>64.3</v>
      </c>
      <c r="H267" s="77">
        <v>50.7</v>
      </c>
      <c r="I267" s="77">
        <v>45.7</v>
      </c>
      <c r="J267" s="78">
        <v>47</v>
      </c>
      <c r="K267" s="79">
        <v>75.400000000000006</v>
      </c>
      <c r="L267" s="79">
        <v>68</v>
      </c>
      <c r="M267" s="80">
        <v>70.099999999999994</v>
      </c>
    </row>
    <row r="268" spans="1:13">
      <c r="A268" s="69">
        <v>38077</v>
      </c>
      <c r="B268" s="67">
        <v>58.7</v>
      </c>
      <c r="C268" s="67">
        <v>51.8</v>
      </c>
      <c r="D268" s="76">
        <v>52.5</v>
      </c>
      <c r="E268" s="67">
        <v>72.8</v>
      </c>
      <c r="F268" s="67">
        <v>64.400000000000006</v>
      </c>
      <c r="G268" s="76">
        <v>65.400000000000006</v>
      </c>
      <c r="H268" s="67">
        <v>53.6</v>
      </c>
      <c r="I268" s="67">
        <v>47.3</v>
      </c>
      <c r="J268" s="76">
        <v>47.9</v>
      </c>
      <c r="K268" s="68">
        <v>77.400000000000006</v>
      </c>
      <c r="L268" s="68">
        <v>68.400000000000006</v>
      </c>
      <c r="M268" s="70">
        <v>69.400000000000006</v>
      </c>
    </row>
    <row r="269" spans="1:13">
      <c r="A269" s="69">
        <v>38107</v>
      </c>
      <c r="B269" s="77">
        <v>60.2</v>
      </c>
      <c r="C269" s="77">
        <v>53.2</v>
      </c>
      <c r="D269" s="78">
        <v>53.6</v>
      </c>
      <c r="E269" s="77">
        <v>74.099999999999994</v>
      </c>
      <c r="F269" s="77">
        <v>65.7</v>
      </c>
      <c r="G269" s="78">
        <v>66.2</v>
      </c>
      <c r="H269" s="77">
        <v>55.1</v>
      </c>
      <c r="I269" s="77">
        <v>48.7</v>
      </c>
      <c r="J269" s="78">
        <v>49</v>
      </c>
      <c r="K269" s="79">
        <v>76.400000000000006</v>
      </c>
      <c r="L269" s="79">
        <v>67.599999999999994</v>
      </c>
      <c r="M269" s="80">
        <v>68.099999999999994</v>
      </c>
    </row>
    <row r="270" spans="1:13">
      <c r="A270" s="69">
        <v>38138</v>
      </c>
      <c r="B270" s="67">
        <v>65.2</v>
      </c>
      <c r="C270" s="67">
        <v>54.9</v>
      </c>
      <c r="D270" s="76">
        <v>54.8</v>
      </c>
      <c r="E270" s="67">
        <v>77.599999999999994</v>
      </c>
      <c r="F270" s="67">
        <v>65.5</v>
      </c>
      <c r="G270" s="76">
        <v>65.5</v>
      </c>
      <c r="H270" s="67">
        <v>60.3</v>
      </c>
      <c r="I270" s="67">
        <v>50.8</v>
      </c>
      <c r="J270" s="76">
        <v>50.7</v>
      </c>
      <c r="K270" s="68">
        <v>75.599999999999994</v>
      </c>
      <c r="L270" s="68">
        <v>63.8</v>
      </c>
      <c r="M270" s="70">
        <v>63.8</v>
      </c>
    </row>
    <row r="271" spans="1:13">
      <c r="A271" s="69">
        <v>38168</v>
      </c>
      <c r="B271" s="77">
        <v>66</v>
      </c>
      <c r="C271" s="77">
        <v>54.2</v>
      </c>
      <c r="D271" s="78">
        <v>54.7</v>
      </c>
      <c r="E271" s="77">
        <v>77.8</v>
      </c>
      <c r="F271" s="77">
        <v>64</v>
      </c>
      <c r="G271" s="78">
        <v>64.599999999999994</v>
      </c>
      <c r="H271" s="77">
        <v>61.3</v>
      </c>
      <c r="I271" s="77">
        <v>50.3</v>
      </c>
      <c r="J271" s="78">
        <v>50.8</v>
      </c>
      <c r="K271" s="79">
        <v>81.3</v>
      </c>
      <c r="L271" s="79">
        <v>66.8</v>
      </c>
      <c r="M271" s="80">
        <v>67.5</v>
      </c>
    </row>
    <row r="272" spans="1:13">
      <c r="A272" s="69">
        <v>38199</v>
      </c>
      <c r="B272" s="67">
        <v>65.2</v>
      </c>
      <c r="C272" s="67">
        <v>55</v>
      </c>
      <c r="D272" s="76">
        <v>55.7</v>
      </c>
      <c r="E272" s="67">
        <v>72.400000000000006</v>
      </c>
      <c r="F272" s="67">
        <v>61.1</v>
      </c>
      <c r="G272" s="76">
        <v>62.1</v>
      </c>
      <c r="H272" s="67">
        <v>61.8</v>
      </c>
      <c r="I272" s="67">
        <v>52.1</v>
      </c>
      <c r="J272" s="76">
        <v>52.8</v>
      </c>
      <c r="K272" s="68">
        <v>82.2</v>
      </c>
      <c r="L272" s="68">
        <v>69.400000000000006</v>
      </c>
      <c r="M272" s="70">
        <v>70.5</v>
      </c>
    </row>
    <row r="273" spans="1:24">
      <c r="A273" s="69">
        <v>38230</v>
      </c>
      <c r="B273" s="77">
        <v>67.2</v>
      </c>
      <c r="C273" s="77">
        <v>56.5</v>
      </c>
      <c r="D273" s="78">
        <v>56.9</v>
      </c>
      <c r="E273" s="77">
        <v>71.8</v>
      </c>
      <c r="F273" s="77">
        <v>60.4</v>
      </c>
      <c r="G273" s="78">
        <v>61</v>
      </c>
      <c r="H273" s="77">
        <v>64.400000000000006</v>
      </c>
      <c r="I273" s="77">
        <v>54.1</v>
      </c>
      <c r="J273" s="78">
        <v>54.5</v>
      </c>
      <c r="K273" s="79">
        <v>80.599999999999994</v>
      </c>
      <c r="L273" s="79">
        <v>67.8</v>
      </c>
      <c r="M273" s="80">
        <v>68.5</v>
      </c>
    </row>
    <row r="274" spans="1:24">
      <c r="A274" s="69">
        <v>38260</v>
      </c>
      <c r="B274" s="67">
        <v>68.7</v>
      </c>
      <c r="C274" s="67">
        <v>57</v>
      </c>
      <c r="D274" s="76">
        <v>57.5</v>
      </c>
      <c r="E274" s="67">
        <v>74.900000000000006</v>
      </c>
      <c r="F274" s="67">
        <v>62.3</v>
      </c>
      <c r="G274" s="76">
        <v>62.9</v>
      </c>
      <c r="H274" s="67">
        <v>65.400000000000006</v>
      </c>
      <c r="I274" s="67">
        <v>54.3</v>
      </c>
      <c r="J274" s="76">
        <v>54.7</v>
      </c>
      <c r="K274" s="68">
        <v>82.6</v>
      </c>
      <c r="L274" s="68">
        <v>68.7</v>
      </c>
      <c r="M274" s="70">
        <v>69.3</v>
      </c>
    </row>
    <row r="275" spans="1:24">
      <c r="A275" s="69">
        <v>38291</v>
      </c>
      <c r="B275" s="77">
        <v>67.8</v>
      </c>
      <c r="C275" s="77">
        <v>58.3</v>
      </c>
      <c r="D275" s="78">
        <v>59.2</v>
      </c>
      <c r="E275" s="77">
        <v>70.7</v>
      </c>
      <c r="F275" s="77">
        <v>60.9</v>
      </c>
      <c r="G275" s="78">
        <v>62</v>
      </c>
      <c r="H275" s="77">
        <v>65.400000000000006</v>
      </c>
      <c r="I275" s="77">
        <v>56.2</v>
      </c>
      <c r="J275" s="78">
        <v>57.1</v>
      </c>
      <c r="K275" s="79">
        <v>83.4</v>
      </c>
      <c r="L275" s="79">
        <v>71.8</v>
      </c>
      <c r="M275" s="80">
        <v>73.099999999999994</v>
      </c>
    </row>
    <row r="276" spans="1:24">
      <c r="A276" s="69">
        <v>38321</v>
      </c>
      <c r="B276" s="67">
        <v>64.8</v>
      </c>
      <c r="C276" s="67">
        <v>57.2</v>
      </c>
      <c r="D276" s="76">
        <v>59.5</v>
      </c>
      <c r="E276" s="67">
        <v>68.3</v>
      </c>
      <c r="F276" s="67">
        <v>60.4</v>
      </c>
      <c r="G276" s="76">
        <v>62.9</v>
      </c>
      <c r="H276" s="67">
        <v>62.4</v>
      </c>
      <c r="I276" s="67">
        <v>55</v>
      </c>
      <c r="J276" s="76">
        <v>57.2</v>
      </c>
      <c r="K276" s="68">
        <v>79.900000000000006</v>
      </c>
      <c r="L276" s="68">
        <v>70.5</v>
      </c>
      <c r="M276" s="70">
        <v>73.5</v>
      </c>
    </row>
    <row r="277" spans="1:24">
      <c r="A277" s="69">
        <v>38352</v>
      </c>
      <c r="B277" s="77">
        <v>64.2</v>
      </c>
      <c r="C277" s="77">
        <v>55.5</v>
      </c>
      <c r="D277" s="78">
        <v>58.8</v>
      </c>
      <c r="E277" s="77">
        <v>69.400000000000006</v>
      </c>
      <c r="F277" s="77">
        <v>60.1</v>
      </c>
      <c r="G277" s="78">
        <v>63.8</v>
      </c>
      <c r="H277" s="77">
        <v>61.3</v>
      </c>
      <c r="I277" s="77">
        <v>53</v>
      </c>
      <c r="J277" s="78">
        <v>56.1</v>
      </c>
      <c r="K277" s="79">
        <v>81</v>
      </c>
      <c r="L277" s="79">
        <v>70.2</v>
      </c>
      <c r="M277" s="80">
        <v>74.400000000000006</v>
      </c>
    </row>
    <row r="278" spans="1:24">
      <c r="A278" s="69">
        <v>38383</v>
      </c>
      <c r="B278" s="67">
        <v>65.900000000000006</v>
      </c>
      <c r="C278" s="67">
        <v>57.3</v>
      </c>
      <c r="D278" s="76">
        <v>60.2</v>
      </c>
      <c r="E278" s="67">
        <v>70</v>
      </c>
      <c r="F278" s="67">
        <v>61</v>
      </c>
      <c r="G278" s="76">
        <v>64.2</v>
      </c>
      <c r="H278" s="67">
        <v>63.3</v>
      </c>
      <c r="I278" s="67">
        <v>55</v>
      </c>
      <c r="J278" s="76">
        <v>57.8</v>
      </c>
      <c r="K278" s="68">
        <v>82.4</v>
      </c>
      <c r="L278" s="68">
        <v>71.7</v>
      </c>
      <c r="M278" s="70">
        <v>75.400000000000006</v>
      </c>
    </row>
    <row r="279" spans="1:24">
      <c r="A279" s="69">
        <v>38411</v>
      </c>
      <c r="B279" s="77">
        <v>65.7</v>
      </c>
      <c r="C279" s="77">
        <v>58.6</v>
      </c>
      <c r="D279" s="78">
        <v>61.2</v>
      </c>
      <c r="E279" s="77">
        <v>67.900000000000006</v>
      </c>
      <c r="F279" s="77">
        <v>60.7</v>
      </c>
      <c r="G279" s="78">
        <v>63.5</v>
      </c>
      <c r="H279" s="77">
        <v>63.6</v>
      </c>
      <c r="I279" s="77">
        <v>56.7</v>
      </c>
      <c r="J279" s="78">
        <v>59.2</v>
      </c>
      <c r="K279" s="79">
        <v>83.5</v>
      </c>
      <c r="L279" s="79">
        <v>74.599999999999994</v>
      </c>
      <c r="M279" s="80">
        <v>78</v>
      </c>
    </row>
    <row r="280" spans="1:24">
      <c r="A280" s="69">
        <v>38442</v>
      </c>
      <c r="B280" s="67">
        <v>67.8</v>
      </c>
      <c r="C280" s="67">
        <v>60.4</v>
      </c>
      <c r="D280" s="76">
        <v>63.5</v>
      </c>
      <c r="E280" s="67">
        <v>68.3</v>
      </c>
      <c r="F280" s="67">
        <v>61</v>
      </c>
      <c r="G280" s="76">
        <v>64.2</v>
      </c>
      <c r="H280" s="67">
        <v>66.099999999999994</v>
      </c>
      <c r="I280" s="67">
        <v>58.9</v>
      </c>
      <c r="J280" s="76">
        <v>61.8</v>
      </c>
      <c r="K280" s="68">
        <v>87</v>
      </c>
      <c r="L280" s="68">
        <v>77.599999999999994</v>
      </c>
      <c r="M280" s="70">
        <v>81.7</v>
      </c>
    </row>
    <row r="281" spans="1:24">
      <c r="A281" s="69">
        <v>38472</v>
      </c>
      <c r="B281" s="77">
        <v>75.400000000000006</v>
      </c>
      <c r="C281" s="77">
        <v>66.900000000000006</v>
      </c>
      <c r="D281" s="78">
        <v>69.5</v>
      </c>
      <c r="E281" s="77">
        <v>67.599999999999994</v>
      </c>
      <c r="F281" s="77">
        <v>60.1</v>
      </c>
      <c r="G281" s="78">
        <v>62.6</v>
      </c>
      <c r="H281" s="77">
        <v>75.599999999999994</v>
      </c>
      <c r="I281" s="77">
        <v>67.099999999999994</v>
      </c>
      <c r="J281" s="78">
        <v>69.7</v>
      </c>
      <c r="K281" s="79">
        <v>86.2</v>
      </c>
      <c r="L281" s="79">
        <v>76.5</v>
      </c>
      <c r="M281" s="80">
        <v>79.599999999999994</v>
      </c>
    </row>
    <row r="282" spans="1:24">
      <c r="A282" s="69">
        <v>38503</v>
      </c>
      <c r="B282" s="67">
        <v>75.099999999999994</v>
      </c>
      <c r="C282" s="67">
        <v>66.5</v>
      </c>
      <c r="D282" s="76">
        <v>68.599999999999994</v>
      </c>
      <c r="E282" s="67">
        <v>66.5</v>
      </c>
      <c r="F282" s="67">
        <v>59.1</v>
      </c>
      <c r="G282" s="76">
        <v>61</v>
      </c>
      <c r="H282" s="67">
        <v>75.599999999999994</v>
      </c>
      <c r="I282" s="67">
        <v>66.900000000000006</v>
      </c>
      <c r="J282" s="76">
        <v>69</v>
      </c>
      <c r="K282" s="68">
        <v>84.3</v>
      </c>
      <c r="L282" s="68">
        <v>74.8</v>
      </c>
      <c r="M282" s="70">
        <v>77.3</v>
      </c>
    </row>
    <row r="283" spans="1:24">
      <c r="A283" s="69">
        <v>38533</v>
      </c>
      <c r="B283" s="77">
        <v>77.2</v>
      </c>
      <c r="C283" s="77">
        <v>69.900000000000006</v>
      </c>
      <c r="D283" s="78">
        <v>70.599999999999994</v>
      </c>
      <c r="E283" s="77">
        <v>65.599999999999994</v>
      </c>
      <c r="F283" s="77">
        <v>59.5</v>
      </c>
      <c r="G283" s="78">
        <v>60.2</v>
      </c>
      <c r="H283" s="77">
        <v>78.5</v>
      </c>
      <c r="I283" s="77">
        <v>71</v>
      </c>
      <c r="J283" s="78">
        <v>71.7</v>
      </c>
      <c r="K283" s="79">
        <v>84.6</v>
      </c>
      <c r="L283" s="79">
        <v>76.599999999999994</v>
      </c>
      <c r="M283" s="80">
        <v>77.599999999999994</v>
      </c>
    </row>
    <row r="284" spans="1:24">
      <c r="A284" s="69">
        <v>38564</v>
      </c>
      <c r="B284" s="67">
        <v>80.5</v>
      </c>
      <c r="C284" s="67">
        <v>72.400000000000006</v>
      </c>
      <c r="D284" s="76">
        <v>72.3</v>
      </c>
      <c r="E284" s="67">
        <v>68.3</v>
      </c>
      <c r="F284" s="67">
        <v>61.6</v>
      </c>
      <c r="G284" s="76">
        <v>61.6</v>
      </c>
      <c r="H284" s="67">
        <v>81.900000000000006</v>
      </c>
      <c r="I284" s="67">
        <v>73.599999999999994</v>
      </c>
      <c r="J284" s="76">
        <v>73.400000000000006</v>
      </c>
      <c r="K284" s="68">
        <v>84.4</v>
      </c>
      <c r="L284" s="68">
        <v>76</v>
      </c>
      <c r="M284" s="70">
        <v>76</v>
      </c>
    </row>
    <row r="285" spans="1:24">
      <c r="A285" s="69">
        <v>38595</v>
      </c>
      <c r="B285" s="77">
        <v>81.900000000000006</v>
      </c>
      <c r="C285" s="77">
        <v>73.7</v>
      </c>
      <c r="D285" s="78">
        <v>74.400000000000006</v>
      </c>
      <c r="E285" s="77">
        <v>66.900000000000006</v>
      </c>
      <c r="F285" s="77">
        <v>60.3</v>
      </c>
      <c r="G285" s="78">
        <v>61</v>
      </c>
      <c r="H285" s="77">
        <v>83.9</v>
      </c>
      <c r="I285" s="77">
        <v>75.5</v>
      </c>
      <c r="J285" s="78">
        <v>76.2</v>
      </c>
      <c r="K285" s="79">
        <v>87.4</v>
      </c>
      <c r="L285" s="79">
        <v>78.7</v>
      </c>
      <c r="M285" s="80">
        <v>79.5</v>
      </c>
    </row>
    <row r="286" spans="1:24">
      <c r="A286" s="69">
        <v>38625</v>
      </c>
      <c r="B286" s="67">
        <v>82.5</v>
      </c>
      <c r="C286" s="67">
        <v>74.599999999999994</v>
      </c>
      <c r="D286" s="76">
        <v>75.3</v>
      </c>
      <c r="E286" s="67">
        <v>68.900000000000006</v>
      </c>
      <c r="F286" s="67">
        <v>62.5</v>
      </c>
      <c r="G286" s="76">
        <v>63.2</v>
      </c>
      <c r="H286" s="67">
        <v>84.1</v>
      </c>
      <c r="I286" s="67">
        <v>76.099999999999994</v>
      </c>
      <c r="J286" s="76">
        <v>76.8</v>
      </c>
      <c r="K286" s="68">
        <v>86.3</v>
      </c>
      <c r="L286" s="68">
        <v>78.2</v>
      </c>
      <c r="M286" s="70">
        <v>79</v>
      </c>
    </row>
    <row r="287" spans="1:24">
      <c r="A287" s="69">
        <v>38656</v>
      </c>
      <c r="B287" s="77">
        <v>84</v>
      </c>
      <c r="C287" s="77">
        <v>76</v>
      </c>
      <c r="D287" s="78">
        <v>75.599999999999994</v>
      </c>
      <c r="E287" s="77">
        <v>71.2</v>
      </c>
      <c r="F287" s="77">
        <v>64.5</v>
      </c>
      <c r="G287" s="78">
        <v>64.3</v>
      </c>
      <c r="H287" s="77">
        <v>85.5</v>
      </c>
      <c r="I287" s="77">
        <v>77.3</v>
      </c>
      <c r="J287" s="78">
        <v>76.900000000000006</v>
      </c>
      <c r="K287" s="79">
        <v>89</v>
      </c>
      <c r="L287" s="79">
        <v>80.599999999999994</v>
      </c>
      <c r="M287" s="80">
        <v>80.3</v>
      </c>
      <c r="N287" s="33"/>
      <c r="O287" s="33"/>
      <c r="R287" s="33"/>
      <c r="S287" s="33"/>
      <c r="T287" s="33"/>
      <c r="U287" s="33"/>
      <c r="V287" s="33"/>
      <c r="W287" s="33"/>
      <c r="X287" s="33"/>
    </row>
    <row r="288" spans="1:24">
      <c r="A288" s="69">
        <v>38686</v>
      </c>
      <c r="B288" s="67">
        <v>85.9</v>
      </c>
      <c r="C288" s="67">
        <v>76.7</v>
      </c>
      <c r="D288" s="76">
        <v>75.400000000000006</v>
      </c>
      <c r="E288" s="67">
        <v>72.5</v>
      </c>
      <c r="F288" s="67">
        <v>64.900000000000006</v>
      </c>
      <c r="G288" s="76">
        <v>63.9</v>
      </c>
      <c r="H288" s="67">
        <v>87.5</v>
      </c>
      <c r="I288" s="67">
        <v>78.099999999999994</v>
      </c>
      <c r="J288" s="76">
        <v>76.7</v>
      </c>
      <c r="K288" s="68">
        <v>95.4</v>
      </c>
      <c r="L288" s="68">
        <v>85.3</v>
      </c>
      <c r="M288" s="70">
        <v>84</v>
      </c>
      <c r="N288" s="33"/>
      <c r="O288" s="33"/>
      <c r="P288" s="33"/>
      <c r="Q288" s="33"/>
      <c r="R288" s="33"/>
      <c r="S288" s="33"/>
      <c r="T288" s="33"/>
      <c r="U288" s="33"/>
      <c r="V288" s="33"/>
      <c r="W288" s="33"/>
      <c r="X288" s="33"/>
    </row>
    <row r="289" spans="1:24">
      <c r="A289" s="69">
        <v>38717</v>
      </c>
      <c r="B289" s="77">
        <v>87.9</v>
      </c>
      <c r="C289" s="77">
        <v>79</v>
      </c>
      <c r="D289" s="78">
        <v>77.8</v>
      </c>
      <c r="E289" s="77">
        <v>73.5</v>
      </c>
      <c r="F289" s="77">
        <v>66.2</v>
      </c>
      <c r="G289" s="78">
        <v>65.3</v>
      </c>
      <c r="H289" s="77">
        <v>89.6</v>
      </c>
      <c r="I289" s="77">
        <v>80.599999999999994</v>
      </c>
      <c r="J289" s="78">
        <v>79.3</v>
      </c>
      <c r="K289" s="79">
        <v>103.5</v>
      </c>
      <c r="L289" s="79">
        <v>93.2</v>
      </c>
      <c r="M289" s="80">
        <v>91.9</v>
      </c>
      <c r="N289" s="33"/>
      <c r="O289" s="33"/>
      <c r="P289" s="33"/>
      <c r="Q289" s="33"/>
      <c r="R289" s="33"/>
      <c r="S289" s="33"/>
      <c r="T289" s="33"/>
      <c r="U289" s="33"/>
      <c r="V289" s="33"/>
      <c r="W289" s="33"/>
      <c r="X289" s="33"/>
    </row>
    <row r="290" spans="1:24">
      <c r="A290" s="69">
        <v>38748</v>
      </c>
      <c r="B290" s="67">
        <v>89.8</v>
      </c>
      <c r="C290" s="67">
        <v>80.599999999999994</v>
      </c>
      <c r="D290" s="76">
        <v>80.2</v>
      </c>
      <c r="E290" s="67">
        <v>74.7</v>
      </c>
      <c r="F290" s="67">
        <v>67.2</v>
      </c>
      <c r="G290" s="76">
        <v>67</v>
      </c>
      <c r="H290" s="67">
        <v>91.6</v>
      </c>
      <c r="I290" s="67">
        <v>82.3</v>
      </c>
      <c r="J290" s="76">
        <v>81.900000000000006</v>
      </c>
      <c r="K290" s="68">
        <v>109.4</v>
      </c>
      <c r="L290" s="68">
        <v>98.4</v>
      </c>
      <c r="M290" s="70">
        <v>98</v>
      </c>
      <c r="N290" s="33"/>
      <c r="O290" s="33"/>
      <c r="P290" s="33"/>
      <c r="Q290" s="33"/>
    </row>
    <row r="291" spans="1:24">
      <c r="A291" s="69">
        <v>38776</v>
      </c>
      <c r="B291" s="77">
        <v>91.7</v>
      </c>
      <c r="C291" s="77">
        <v>82.1</v>
      </c>
      <c r="D291" s="78">
        <v>81.099999999999994</v>
      </c>
      <c r="E291" s="77">
        <v>79.3</v>
      </c>
      <c r="F291" s="77">
        <v>71.099999999999994</v>
      </c>
      <c r="G291" s="78">
        <v>70.400000000000006</v>
      </c>
      <c r="H291" s="77">
        <v>92.8</v>
      </c>
      <c r="I291" s="77">
        <v>83.1</v>
      </c>
      <c r="J291" s="78">
        <v>82.1</v>
      </c>
      <c r="K291" s="79">
        <v>114.7</v>
      </c>
      <c r="L291" s="79">
        <v>102.8</v>
      </c>
      <c r="M291" s="80">
        <v>101.8</v>
      </c>
      <c r="N291" s="33"/>
      <c r="O291" s="33"/>
      <c r="P291" s="33"/>
      <c r="Q291" s="33"/>
    </row>
    <row r="292" spans="1:24">
      <c r="A292" s="69">
        <v>38807</v>
      </c>
      <c r="B292" s="67">
        <v>93.7</v>
      </c>
      <c r="C292" s="67">
        <v>82.2</v>
      </c>
      <c r="D292" s="76">
        <v>81.400000000000006</v>
      </c>
      <c r="E292" s="67">
        <v>79.8</v>
      </c>
      <c r="F292" s="67">
        <v>70.099999999999994</v>
      </c>
      <c r="G292" s="76">
        <v>69.5</v>
      </c>
      <c r="H292" s="67">
        <v>95.2</v>
      </c>
      <c r="I292" s="67">
        <v>83.5</v>
      </c>
      <c r="J292" s="76">
        <v>82.6</v>
      </c>
      <c r="K292" s="68">
        <v>118.2</v>
      </c>
      <c r="L292" s="68">
        <v>103.8</v>
      </c>
      <c r="M292" s="70">
        <v>102.9</v>
      </c>
      <c r="N292" s="33"/>
      <c r="O292" s="33"/>
      <c r="P292" s="33"/>
      <c r="Q292" s="33"/>
    </row>
    <row r="293" spans="1:24">
      <c r="A293" s="69">
        <v>38837</v>
      </c>
      <c r="B293" s="77">
        <v>97.3</v>
      </c>
      <c r="C293" s="77">
        <v>85.5</v>
      </c>
      <c r="D293" s="78">
        <v>85.3</v>
      </c>
      <c r="E293" s="77">
        <v>79.400000000000006</v>
      </c>
      <c r="F293" s="77">
        <v>69.900000000000006</v>
      </c>
      <c r="G293" s="78">
        <v>69.900000000000006</v>
      </c>
      <c r="H293" s="77">
        <v>99.8</v>
      </c>
      <c r="I293" s="77">
        <v>87.7</v>
      </c>
      <c r="J293" s="78">
        <v>87.4</v>
      </c>
      <c r="K293" s="79">
        <v>135.9</v>
      </c>
      <c r="L293" s="79">
        <v>119.6</v>
      </c>
      <c r="M293" s="80">
        <v>119.5</v>
      </c>
      <c r="N293" s="33"/>
      <c r="O293" s="33"/>
      <c r="P293" s="33"/>
      <c r="Q293" s="33"/>
    </row>
    <row r="294" spans="1:24">
      <c r="A294" s="69">
        <v>38868</v>
      </c>
      <c r="B294" s="67">
        <v>97.6</v>
      </c>
      <c r="C294" s="67">
        <v>86.8</v>
      </c>
      <c r="D294" s="76">
        <v>88.9</v>
      </c>
      <c r="E294" s="67">
        <v>78</v>
      </c>
      <c r="F294" s="67">
        <v>69.5</v>
      </c>
      <c r="G294" s="76">
        <v>71.3</v>
      </c>
      <c r="H294" s="67">
        <v>100.5</v>
      </c>
      <c r="I294" s="67">
        <v>89.4</v>
      </c>
      <c r="J294" s="76">
        <v>91.5</v>
      </c>
      <c r="K294" s="68">
        <v>151.1</v>
      </c>
      <c r="L294" s="68">
        <v>134.5</v>
      </c>
      <c r="M294" s="70">
        <v>137.9</v>
      </c>
      <c r="N294" s="33"/>
      <c r="O294" s="33"/>
      <c r="P294" s="33"/>
      <c r="Q294" s="33"/>
    </row>
    <row r="295" spans="1:24">
      <c r="A295" s="69">
        <v>38898</v>
      </c>
      <c r="B295" s="77">
        <v>97.6</v>
      </c>
      <c r="C295" s="77">
        <v>84.7</v>
      </c>
      <c r="D295" s="78">
        <v>86.2</v>
      </c>
      <c r="E295" s="77">
        <v>78.5</v>
      </c>
      <c r="F295" s="77">
        <v>68.2</v>
      </c>
      <c r="G295" s="78">
        <v>69.599999999999994</v>
      </c>
      <c r="H295" s="77">
        <v>100.4</v>
      </c>
      <c r="I295" s="77">
        <v>87.1</v>
      </c>
      <c r="J295" s="78">
        <v>88.6</v>
      </c>
      <c r="K295" s="79">
        <v>140.6</v>
      </c>
      <c r="L295" s="79">
        <v>122.2</v>
      </c>
      <c r="M295" s="80">
        <v>124.5</v>
      </c>
      <c r="N295" s="33"/>
      <c r="O295" s="33"/>
      <c r="P295" s="33"/>
      <c r="Q295" s="33"/>
    </row>
    <row r="296" spans="1:24">
      <c r="A296" s="69">
        <v>38929</v>
      </c>
      <c r="B296" s="67">
        <v>99.2</v>
      </c>
      <c r="C296" s="67">
        <v>87.5</v>
      </c>
      <c r="D296" s="76">
        <v>89</v>
      </c>
      <c r="E296" s="67">
        <v>79.8</v>
      </c>
      <c r="F296" s="67">
        <v>70.5</v>
      </c>
      <c r="G296" s="76">
        <v>71.8</v>
      </c>
      <c r="H296" s="67">
        <v>102</v>
      </c>
      <c r="I296" s="67">
        <v>89.9</v>
      </c>
      <c r="J296" s="76">
        <v>91.4</v>
      </c>
      <c r="K296" s="68">
        <v>150.6</v>
      </c>
      <c r="L296" s="68">
        <v>133</v>
      </c>
      <c r="M296" s="70">
        <v>135.4</v>
      </c>
      <c r="N296" s="33"/>
      <c r="O296" s="33"/>
      <c r="P296" s="33"/>
      <c r="Q296" s="33"/>
      <c r="R296" s="33"/>
      <c r="S296" s="33"/>
      <c r="T296" s="33"/>
    </row>
    <row r="297" spans="1:24">
      <c r="A297" s="69">
        <v>38960</v>
      </c>
      <c r="B297" s="77">
        <v>98.5</v>
      </c>
      <c r="C297" s="77">
        <v>87.7</v>
      </c>
      <c r="D297" s="78">
        <v>89.7</v>
      </c>
      <c r="E297" s="77">
        <v>77.099999999999994</v>
      </c>
      <c r="F297" s="77">
        <v>68.7</v>
      </c>
      <c r="G297" s="78">
        <v>70.400000000000006</v>
      </c>
      <c r="H297" s="77">
        <v>101.9</v>
      </c>
      <c r="I297" s="77">
        <v>90.6</v>
      </c>
      <c r="J297" s="78">
        <v>92.7</v>
      </c>
      <c r="K297" s="79">
        <v>153.80000000000001</v>
      </c>
      <c r="L297" s="79">
        <v>137</v>
      </c>
      <c r="M297" s="80">
        <v>140.4</v>
      </c>
      <c r="N297" s="33"/>
      <c r="O297" s="33"/>
      <c r="P297" s="33"/>
      <c r="Q297" s="33"/>
      <c r="R297" s="33"/>
      <c r="S297" s="33"/>
      <c r="T297" s="33"/>
    </row>
    <row r="298" spans="1:24">
      <c r="A298" s="69">
        <v>38990</v>
      </c>
      <c r="B298" s="67">
        <v>96.6</v>
      </c>
      <c r="C298" s="67">
        <v>85.5</v>
      </c>
      <c r="D298" s="76">
        <v>87.2</v>
      </c>
      <c r="E298" s="67">
        <v>77.8</v>
      </c>
      <c r="F298" s="67">
        <v>69</v>
      </c>
      <c r="G298" s="76">
        <v>70.5</v>
      </c>
      <c r="H298" s="67">
        <v>99.3</v>
      </c>
      <c r="I298" s="67">
        <v>87.8</v>
      </c>
      <c r="J298" s="76">
        <v>89.6</v>
      </c>
      <c r="K298" s="68">
        <v>155.1</v>
      </c>
      <c r="L298" s="68">
        <v>137.4</v>
      </c>
      <c r="M298" s="70">
        <v>140.30000000000001</v>
      </c>
      <c r="N298" s="33"/>
      <c r="O298" s="33"/>
      <c r="P298" s="33"/>
      <c r="Q298" s="33"/>
      <c r="R298" s="33"/>
      <c r="S298" s="33"/>
      <c r="T298" s="33"/>
    </row>
    <row r="299" spans="1:24">
      <c r="A299" s="69">
        <v>39021</v>
      </c>
      <c r="B299" s="77">
        <v>97.3</v>
      </c>
      <c r="C299" s="77">
        <v>86.2</v>
      </c>
      <c r="D299" s="78">
        <v>87.5</v>
      </c>
      <c r="E299" s="77">
        <v>81.7</v>
      </c>
      <c r="F299" s="77">
        <v>72.599999999999994</v>
      </c>
      <c r="G299" s="78">
        <v>73.7</v>
      </c>
      <c r="H299" s="77">
        <v>99.1</v>
      </c>
      <c r="I299" s="77">
        <v>87.8</v>
      </c>
      <c r="J299" s="78">
        <v>89.1</v>
      </c>
      <c r="K299" s="79">
        <v>165.4</v>
      </c>
      <c r="L299" s="79">
        <v>146.80000000000001</v>
      </c>
      <c r="M299" s="80">
        <v>149.1</v>
      </c>
      <c r="N299" s="33"/>
      <c r="O299" s="33"/>
      <c r="P299" s="33"/>
      <c r="Q299" s="33"/>
    </row>
    <row r="300" spans="1:24">
      <c r="A300" s="69">
        <v>39051</v>
      </c>
      <c r="B300" s="67">
        <v>96.1</v>
      </c>
      <c r="C300" s="67">
        <v>86.5</v>
      </c>
      <c r="D300" s="76">
        <v>88.6</v>
      </c>
      <c r="E300" s="67">
        <v>82.7</v>
      </c>
      <c r="F300" s="67">
        <v>74.599999999999994</v>
      </c>
      <c r="G300" s="76">
        <v>76.5</v>
      </c>
      <c r="H300" s="67">
        <v>97.4</v>
      </c>
      <c r="I300" s="67">
        <v>87.6</v>
      </c>
      <c r="J300" s="76">
        <v>89.7</v>
      </c>
      <c r="K300" s="68">
        <v>162.4</v>
      </c>
      <c r="L300" s="68">
        <v>146.30000000000001</v>
      </c>
      <c r="M300" s="70">
        <v>150</v>
      </c>
      <c r="N300" s="33"/>
      <c r="O300" s="33"/>
      <c r="P300" s="33"/>
      <c r="Q300" s="33"/>
    </row>
    <row r="301" spans="1:24">
      <c r="A301" s="69">
        <v>39082</v>
      </c>
      <c r="B301" s="77">
        <v>95.9</v>
      </c>
      <c r="C301" s="77">
        <v>86.7</v>
      </c>
      <c r="D301" s="78">
        <v>89.9</v>
      </c>
      <c r="E301" s="77">
        <v>81.3</v>
      </c>
      <c r="F301" s="77">
        <v>73.599999999999994</v>
      </c>
      <c r="G301" s="78">
        <v>76.5</v>
      </c>
      <c r="H301" s="77">
        <v>97.5</v>
      </c>
      <c r="I301" s="77">
        <v>88.1</v>
      </c>
      <c r="J301" s="78">
        <v>91.4</v>
      </c>
      <c r="K301" s="79">
        <v>163.1</v>
      </c>
      <c r="L301" s="79">
        <v>147.5</v>
      </c>
      <c r="M301" s="80">
        <v>153.30000000000001</v>
      </c>
      <c r="N301" s="33"/>
      <c r="O301" s="33"/>
      <c r="P301" s="33"/>
      <c r="Q301" s="33"/>
    </row>
    <row r="302" spans="1:24">
      <c r="A302" s="69">
        <v>39113</v>
      </c>
      <c r="B302" s="67">
        <v>94</v>
      </c>
      <c r="C302" s="67">
        <v>85.5</v>
      </c>
      <c r="D302" s="76">
        <v>87.9</v>
      </c>
      <c r="E302" s="67">
        <v>81.5</v>
      </c>
      <c r="F302" s="67">
        <v>74.2</v>
      </c>
      <c r="G302" s="76">
        <v>76.5</v>
      </c>
      <c r="H302" s="67">
        <v>95.1</v>
      </c>
      <c r="I302" s="67">
        <v>86.4</v>
      </c>
      <c r="J302" s="76">
        <v>88.9</v>
      </c>
      <c r="K302" s="68">
        <v>157.80000000000001</v>
      </c>
      <c r="L302" s="68">
        <v>143.6</v>
      </c>
      <c r="M302" s="70">
        <v>148</v>
      </c>
      <c r="P302" s="33"/>
    </row>
    <row r="303" spans="1:24">
      <c r="A303" s="69">
        <v>39141</v>
      </c>
      <c r="B303" s="77">
        <v>96.5</v>
      </c>
      <c r="C303" s="77">
        <v>87.4</v>
      </c>
      <c r="D303" s="78">
        <v>90</v>
      </c>
      <c r="E303" s="77">
        <v>81.599999999999994</v>
      </c>
      <c r="F303" s="77">
        <v>74.099999999999994</v>
      </c>
      <c r="G303" s="78">
        <v>76.400000000000006</v>
      </c>
      <c r="H303" s="77">
        <v>98.1</v>
      </c>
      <c r="I303" s="77">
        <v>88.9</v>
      </c>
      <c r="J303" s="78">
        <v>91.5</v>
      </c>
      <c r="K303" s="79">
        <v>162.30000000000001</v>
      </c>
      <c r="L303" s="79">
        <v>147.30000000000001</v>
      </c>
      <c r="M303" s="80">
        <v>151.9</v>
      </c>
      <c r="N303" s="33"/>
      <c r="O303" s="33"/>
    </row>
    <row r="304" spans="1:24">
      <c r="A304" s="69">
        <v>39172</v>
      </c>
      <c r="B304" s="67">
        <v>97</v>
      </c>
      <c r="C304" s="67">
        <v>88.4</v>
      </c>
      <c r="D304" s="76">
        <v>91.7</v>
      </c>
      <c r="E304" s="67">
        <v>81</v>
      </c>
      <c r="F304" s="67">
        <v>73.900000000000006</v>
      </c>
      <c r="G304" s="76">
        <v>76.8</v>
      </c>
      <c r="H304" s="67">
        <v>99</v>
      </c>
      <c r="I304" s="67">
        <v>90.1</v>
      </c>
      <c r="J304" s="76">
        <v>93.5</v>
      </c>
      <c r="K304" s="68">
        <v>169.8</v>
      </c>
      <c r="L304" s="68">
        <v>154.80000000000001</v>
      </c>
      <c r="M304" s="70">
        <v>160.80000000000001</v>
      </c>
      <c r="N304" s="33"/>
      <c r="O304" s="33"/>
      <c r="P304" s="33"/>
      <c r="Q304" s="33"/>
    </row>
    <row r="305" spans="1:17">
      <c r="A305" s="69">
        <v>39202</v>
      </c>
      <c r="B305" s="77">
        <v>96.2</v>
      </c>
      <c r="C305" s="77">
        <v>90.6</v>
      </c>
      <c r="D305" s="78">
        <v>94.7</v>
      </c>
      <c r="E305" s="77">
        <v>76.7</v>
      </c>
      <c r="F305" s="77">
        <v>72.400000000000006</v>
      </c>
      <c r="G305" s="78">
        <v>75.8</v>
      </c>
      <c r="H305" s="77">
        <v>99.1</v>
      </c>
      <c r="I305" s="77">
        <v>93.3</v>
      </c>
      <c r="J305" s="78">
        <v>97.5</v>
      </c>
      <c r="K305" s="79">
        <v>177.3</v>
      </c>
      <c r="L305" s="79">
        <v>167.2</v>
      </c>
      <c r="M305" s="80">
        <v>175.1</v>
      </c>
      <c r="N305" s="33"/>
      <c r="O305" s="33"/>
      <c r="P305" s="33"/>
      <c r="Q305" s="33"/>
    </row>
    <row r="306" spans="1:17">
      <c r="A306" s="69">
        <v>39233</v>
      </c>
      <c r="B306" s="67">
        <v>96.8</v>
      </c>
      <c r="C306" s="67">
        <v>91.2</v>
      </c>
      <c r="D306" s="76">
        <v>95.3</v>
      </c>
      <c r="E306" s="67">
        <v>77.3</v>
      </c>
      <c r="F306" s="67">
        <v>73</v>
      </c>
      <c r="G306" s="76">
        <v>76.400000000000006</v>
      </c>
      <c r="H306" s="67">
        <v>99.7</v>
      </c>
      <c r="I306" s="67">
        <v>93.9</v>
      </c>
      <c r="J306" s="76">
        <v>98.1</v>
      </c>
      <c r="K306" s="68">
        <v>181.2</v>
      </c>
      <c r="L306" s="68">
        <v>170.9</v>
      </c>
      <c r="M306" s="70">
        <v>178.8</v>
      </c>
      <c r="P306" s="33"/>
      <c r="Q306" s="33"/>
    </row>
    <row r="307" spans="1:17">
      <c r="A307" s="69">
        <v>39263</v>
      </c>
      <c r="B307" s="77">
        <v>93.5</v>
      </c>
      <c r="C307" s="77">
        <v>90.4</v>
      </c>
      <c r="D307" s="78">
        <v>94</v>
      </c>
      <c r="E307" s="77">
        <v>78.3</v>
      </c>
      <c r="F307" s="77">
        <v>75.8</v>
      </c>
      <c r="G307" s="78">
        <v>79</v>
      </c>
      <c r="H307" s="77">
        <v>95.4</v>
      </c>
      <c r="I307" s="77">
        <v>92.1</v>
      </c>
      <c r="J307" s="78">
        <v>95.8</v>
      </c>
      <c r="K307" s="79">
        <v>162.4</v>
      </c>
      <c r="L307" s="79">
        <v>157</v>
      </c>
      <c r="M307" s="80">
        <v>163.6</v>
      </c>
    </row>
    <row r="308" spans="1:17">
      <c r="A308" s="69">
        <v>39294</v>
      </c>
      <c r="B308" s="67">
        <v>91.8</v>
      </c>
      <c r="C308" s="67">
        <v>90.3</v>
      </c>
      <c r="D308" s="76">
        <v>95</v>
      </c>
      <c r="E308" s="67">
        <v>80</v>
      </c>
      <c r="F308" s="67">
        <v>78.900000000000006</v>
      </c>
      <c r="G308" s="76">
        <v>83.1</v>
      </c>
      <c r="H308" s="67">
        <v>92.7</v>
      </c>
      <c r="I308" s="67">
        <v>91.2</v>
      </c>
      <c r="J308" s="76">
        <v>95.9</v>
      </c>
      <c r="K308" s="68">
        <v>153.5</v>
      </c>
      <c r="L308" s="68">
        <v>151.19999999999999</v>
      </c>
      <c r="M308" s="70">
        <v>159.30000000000001</v>
      </c>
    </row>
    <row r="309" spans="1:17">
      <c r="A309" s="69">
        <v>39325</v>
      </c>
      <c r="B309" s="77">
        <v>94.6</v>
      </c>
      <c r="C309" s="77">
        <v>89</v>
      </c>
      <c r="D309" s="78">
        <v>93.6</v>
      </c>
      <c r="E309" s="77">
        <v>86.2</v>
      </c>
      <c r="F309" s="77">
        <v>81.2</v>
      </c>
      <c r="G309" s="78">
        <v>85.6</v>
      </c>
      <c r="H309" s="77">
        <v>94.6</v>
      </c>
      <c r="I309" s="77">
        <v>88.9</v>
      </c>
      <c r="J309" s="78">
        <v>93.6</v>
      </c>
      <c r="K309" s="79">
        <v>145.80000000000001</v>
      </c>
      <c r="L309" s="79">
        <v>137.19999999999999</v>
      </c>
      <c r="M309" s="80">
        <v>144.6</v>
      </c>
    </row>
    <row r="310" spans="1:17">
      <c r="A310" s="69">
        <v>39355</v>
      </c>
      <c r="B310" s="67">
        <v>97</v>
      </c>
      <c r="C310" s="67">
        <v>92.1</v>
      </c>
      <c r="D310" s="76">
        <v>97.8</v>
      </c>
      <c r="E310" s="67">
        <v>94.2</v>
      </c>
      <c r="F310" s="67">
        <v>89.7</v>
      </c>
      <c r="G310" s="76">
        <v>95.3</v>
      </c>
      <c r="H310" s="67">
        <v>95.4</v>
      </c>
      <c r="I310" s="67">
        <v>90.6</v>
      </c>
      <c r="J310" s="76">
        <v>96.1</v>
      </c>
      <c r="K310" s="68">
        <v>143</v>
      </c>
      <c r="L310" s="68">
        <v>136</v>
      </c>
      <c r="M310" s="70">
        <v>144.5</v>
      </c>
    </row>
    <row r="311" spans="1:17">
      <c r="A311" s="69">
        <v>39386</v>
      </c>
      <c r="B311" s="77">
        <v>94.5</v>
      </c>
      <c r="C311" s="77">
        <v>94.4</v>
      </c>
      <c r="D311" s="78">
        <v>101.2</v>
      </c>
      <c r="E311" s="77">
        <v>91.8</v>
      </c>
      <c r="F311" s="77">
        <v>91.9</v>
      </c>
      <c r="G311" s="78">
        <v>98.7</v>
      </c>
      <c r="H311" s="77">
        <v>92.9</v>
      </c>
      <c r="I311" s="77">
        <v>92.8</v>
      </c>
      <c r="J311" s="78">
        <v>99.5</v>
      </c>
      <c r="K311" s="79">
        <v>141.30000000000001</v>
      </c>
      <c r="L311" s="79">
        <v>141.4</v>
      </c>
      <c r="M311" s="80">
        <v>151.80000000000001</v>
      </c>
    </row>
    <row r="312" spans="1:17">
      <c r="A312" s="69">
        <v>39416</v>
      </c>
      <c r="B312" s="67">
        <v>96</v>
      </c>
      <c r="C312" s="67">
        <v>94.4</v>
      </c>
      <c r="D312" s="76">
        <v>103</v>
      </c>
      <c r="E312" s="67">
        <v>90</v>
      </c>
      <c r="F312" s="67">
        <v>88.7</v>
      </c>
      <c r="G312" s="76">
        <v>96.9</v>
      </c>
      <c r="H312" s="67">
        <v>95.3</v>
      </c>
      <c r="I312" s="67">
        <v>93.7</v>
      </c>
      <c r="J312" s="76">
        <v>102.2</v>
      </c>
      <c r="K312" s="68">
        <v>132.6</v>
      </c>
      <c r="L312" s="68">
        <v>130.5</v>
      </c>
      <c r="M312" s="70">
        <v>142.6</v>
      </c>
    </row>
    <row r="313" spans="1:17">
      <c r="A313" s="69">
        <v>39447</v>
      </c>
      <c r="B313" s="77">
        <v>98.8</v>
      </c>
      <c r="C313" s="77">
        <v>94.9</v>
      </c>
      <c r="D313" s="78">
        <v>102.8</v>
      </c>
      <c r="E313" s="77">
        <v>97.6</v>
      </c>
      <c r="F313" s="77">
        <v>93.9</v>
      </c>
      <c r="G313" s="78">
        <v>102</v>
      </c>
      <c r="H313" s="77">
        <v>96.8</v>
      </c>
      <c r="I313" s="77">
        <v>92.9</v>
      </c>
      <c r="J313" s="78">
        <v>100.7</v>
      </c>
      <c r="K313" s="79">
        <v>124.2</v>
      </c>
      <c r="L313" s="79">
        <v>119.4</v>
      </c>
      <c r="M313" s="80">
        <v>129.6</v>
      </c>
    </row>
    <row r="314" spans="1:17">
      <c r="A314" s="69">
        <v>39478</v>
      </c>
      <c r="B314" s="67">
        <v>100.4</v>
      </c>
      <c r="C314" s="67">
        <v>96.9</v>
      </c>
      <c r="D314" s="76">
        <v>105.6</v>
      </c>
      <c r="E314" s="67">
        <v>99</v>
      </c>
      <c r="F314" s="67">
        <v>95.8</v>
      </c>
      <c r="G314" s="76">
        <v>104.6</v>
      </c>
      <c r="H314" s="67">
        <v>98.4</v>
      </c>
      <c r="I314" s="67">
        <v>95</v>
      </c>
      <c r="J314" s="76">
        <v>103.4</v>
      </c>
      <c r="K314" s="68">
        <v>127.7</v>
      </c>
      <c r="L314" s="68">
        <v>123.4</v>
      </c>
      <c r="M314" s="70">
        <v>134.69999999999999</v>
      </c>
    </row>
    <row r="315" spans="1:17">
      <c r="A315" s="69">
        <v>39507</v>
      </c>
      <c r="B315" s="77">
        <v>102.2</v>
      </c>
      <c r="C315" s="77">
        <v>102</v>
      </c>
      <c r="D315" s="78">
        <v>111.3</v>
      </c>
      <c r="E315" s="77">
        <v>102</v>
      </c>
      <c r="F315" s="77">
        <v>102</v>
      </c>
      <c r="G315" s="78">
        <v>111.5</v>
      </c>
      <c r="H315" s="77">
        <v>99.8</v>
      </c>
      <c r="I315" s="77">
        <v>99.6</v>
      </c>
      <c r="J315" s="78">
        <v>108.6</v>
      </c>
      <c r="K315" s="79">
        <v>135.30000000000001</v>
      </c>
      <c r="L315" s="79">
        <v>135.19999999999999</v>
      </c>
      <c r="M315" s="80">
        <v>147.69999999999999</v>
      </c>
    </row>
    <row r="316" spans="1:17">
      <c r="A316" s="69">
        <v>39538</v>
      </c>
      <c r="B316" s="67">
        <v>106.7</v>
      </c>
      <c r="C316" s="67">
        <v>104.9</v>
      </c>
      <c r="D316" s="76">
        <v>117.8</v>
      </c>
      <c r="E316" s="67">
        <v>102.4</v>
      </c>
      <c r="F316" s="67">
        <v>100.9</v>
      </c>
      <c r="G316" s="76">
        <v>113.5</v>
      </c>
      <c r="H316" s="67">
        <v>105.3</v>
      </c>
      <c r="I316" s="67">
        <v>103.5</v>
      </c>
      <c r="J316" s="76">
        <v>116.2</v>
      </c>
      <c r="K316" s="68">
        <v>141.5</v>
      </c>
      <c r="L316" s="68">
        <v>139.19999999999999</v>
      </c>
      <c r="M316" s="70">
        <v>156.5</v>
      </c>
    </row>
    <row r="317" spans="1:17">
      <c r="A317" s="69">
        <v>39568</v>
      </c>
      <c r="B317" s="77">
        <v>114.4</v>
      </c>
      <c r="C317" s="77">
        <v>112.7</v>
      </c>
      <c r="D317" s="78">
        <v>127</v>
      </c>
      <c r="E317" s="77">
        <v>94.1</v>
      </c>
      <c r="F317" s="77">
        <v>92.9</v>
      </c>
      <c r="G317" s="78">
        <v>104.9</v>
      </c>
      <c r="H317" s="77">
        <v>117</v>
      </c>
      <c r="I317" s="77">
        <v>115.2</v>
      </c>
      <c r="J317" s="78">
        <v>129.9</v>
      </c>
      <c r="K317" s="79">
        <v>137.9</v>
      </c>
      <c r="L317" s="79">
        <v>136</v>
      </c>
      <c r="M317" s="80">
        <v>153.5</v>
      </c>
    </row>
    <row r="318" spans="1:17">
      <c r="A318" s="69">
        <v>39599</v>
      </c>
      <c r="B318" s="67">
        <v>118.4</v>
      </c>
      <c r="C318" s="67">
        <v>119.9</v>
      </c>
      <c r="D318" s="76">
        <v>134</v>
      </c>
      <c r="E318" s="67">
        <v>88.1</v>
      </c>
      <c r="F318" s="67">
        <v>89.5</v>
      </c>
      <c r="G318" s="76">
        <v>100.2</v>
      </c>
      <c r="H318" s="67">
        <v>123.6</v>
      </c>
      <c r="I318" s="67">
        <v>125.2</v>
      </c>
      <c r="J318" s="76">
        <v>139.80000000000001</v>
      </c>
      <c r="K318" s="68">
        <v>126.6</v>
      </c>
      <c r="L318" s="68">
        <v>128.5</v>
      </c>
      <c r="M318" s="70">
        <v>143.80000000000001</v>
      </c>
    </row>
    <row r="319" spans="1:17">
      <c r="A319" s="69">
        <v>39629</v>
      </c>
      <c r="B319" s="77">
        <v>125.3</v>
      </c>
      <c r="C319" s="77">
        <v>127.8</v>
      </c>
      <c r="D319" s="78">
        <v>142.1</v>
      </c>
      <c r="E319" s="77">
        <v>91.7</v>
      </c>
      <c r="F319" s="77">
        <v>93.7</v>
      </c>
      <c r="G319" s="78">
        <v>104.4</v>
      </c>
      <c r="H319" s="77">
        <v>131.19999999999999</v>
      </c>
      <c r="I319" s="77">
        <v>133.80000000000001</v>
      </c>
      <c r="J319" s="78">
        <v>148.80000000000001</v>
      </c>
      <c r="K319" s="79">
        <v>120.9</v>
      </c>
      <c r="L319" s="79">
        <v>123.5</v>
      </c>
      <c r="M319" s="80">
        <v>137.5</v>
      </c>
    </row>
    <row r="320" spans="1:17">
      <c r="A320" s="69">
        <v>39660</v>
      </c>
      <c r="B320" s="67">
        <v>130.5</v>
      </c>
      <c r="C320" s="67">
        <v>133.5</v>
      </c>
      <c r="D320" s="76">
        <v>149.9</v>
      </c>
      <c r="E320" s="67">
        <v>91.4</v>
      </c>
      <c r="F320" s="67">
        <v>93.7</v>
      </c>
      <c r="G320" s="76">
        <v>105.4</v>
      </c>
      <c r="H320" s="67">
        <v>137.80000000000001</v>
      </c>
      <c r="I320" s="67">
        <v>140.80000000000001</v>
      </c>
      <c r="J320" s="76">
        <v>158.1</v>
      </c>
      <c r="K320" s="68">
        <v>118.9</v>
      </c>
      <c r="L320" s="68">
        <v>121.8</v>
      </c>
      <c r="M320" s="70">
        <v>136.9</v>
      </c>
    </row>
    <row r="321" spans="1:13">
      <c r="A321" s="69">
        <v>39691</v>
      </c>
      <c r="B321" s="77">
        <v>140.30000000000001</v>
      </c>
      <c r="C321" s="77">
        <v>135.30000000000001</v>
      </c>
      <c r="D321" s="78">
        <v>147.80000000000001</v>
      </c>
      <c r="E321" s="77">
        <v>97</v>
      </c>
      <c r="F321" s="77">
        <v>93.8</v>
      </c>
      <c r="G321" s="78">
        <v>102.6</v>
      </c>
      <c r="H321" s="77">
        <v>148.30000000000001</v>
      </c>
      <c r="I321" s="77">
        <v>143</v>
      </c>
      <c r="J321" s="78">
        <v>156.19999999999999</v>
      </c>
      <c r="K321" s="79">
        <v>118.4</v>
      </c>
      <c r="L321" s="79">
        <v>114.4</v>
      </c>
      <c r="M321" s="80">
        <v>125.1</v>
      </c>
    </row>
    <row r="322" spans="1:13">
      <c r="A322" s="69">
        <v>39721</v>
      </c>
      <c r="B322" s="67">
        <v>151.1</v>
      </c>
      <c r="C322" s="67">
        <v>138.1</v>
      </c>
      <c r="D322" s="76">
        <v>147.9</v>
      </c>
      <c r="E322" s="67">
        <v>95.8</v>
      </c>
      <c r="F322" s="67">
        <v>87.7</v>
      </c>
      <c r="G322" s="76">
        <v>94.1</v>
      </c>
      <c r="H322" s="67">
        <v>161.4</v>
      </c>
      <c r="I322" s="67">
        <v>147.5</v>
      </c>
      <c r="J322" s="76">
        <v>157.9</v>
      </c>
      <c r="K322" s="68">
        <v>118.2</v>
      </c>
      <c r="L322" s="68">
        <v>108.1</v>
      </c>
      <c r="M322" s="70">
        <v>116</v>
      </c>
    </row>
    <row r="323" spans="1:13">
      <c r="A323" s="69">
        <v>39752</v>
      </c>
      <c r="B323" s="77">
        <v>168.6</v>
      </c>
      <c r="C323" s="77">
        <v>133.5</v>
      </c>
      <c r="D323" s="78">
        <v>139.4</v>
      </c>
      <c r="E323" s="77">
        <v>95.5</v>
      </c>
      <c r="F323" s="77">
        <v>75.7</v>
      </c>
      <c r="G323" s="78">
        <v>79.2</v>
      </c>
      <c r="H323" s="77">
        <v>182.2</v>
      </c>
      <c r="I323" s="77">
        <v>144.19999999999999</v>
      </c>
      <c r="J323" s="78">
        <v>150.5</v>
      </c>
      <c r="K323" s="79">
        <v>109.4</v>
      </c>
      <c r="L323" s="79">
        <v>86.7</v>
      </c>
      <c r="M323" s="80">
        <v>90.7</v>
      </c>
    </row>
    <row r="324" spans="1:13">
      <c r="A324" s="69">
        <v>39782</v>
      </c>
      <c r="B324" s="67">
        <v>164.9</v>
      </c>
      <c r="C324" s="67">
        <v>126.4</v>
      </c>
      <c r="D324" s="76">
        <v>129</v>
      </c>
      <c r="E324" s="67">
        <v>91</v>
      </c>
      <c r="F324" s="67">
        <v>69.900000000000006</v>
      </c>
      <c r="G324" s="76">
        <v>71.400000000000006</v>
      </c>
      <c r="H324" s="67">
        <v>178.6</v>
      </c>
      <c r="I324" s="67">
        <v>136.80000000000001</v>
      </c>
      <c r="J324" s="76">
        <v>139.6</v>
      </c>
      <c r="K324" s="68">
        <v>98.1</v>
      </c>
      <c r="L324" s="68">
        <v>75.3</v>
      </c>
      <c r="M324" s="70">
        <v>76.900000000000006</v>
      </c>
    </row>
    <row r="325" spans="1:13">
      <c r="A325" s="69">
        <v>39813</v>
      </c>
      <c r="B325" s="77">
        <v>151.30000000000001</v>
      </c>
      <c r="C325" s="77">
        <v>115.5</v>
      </c>
      <c r="D325" s="78">
        <v>120.8</v>
      </c>
      <c r="E325" s="77">
        <v>89</v>
      </c>
      <c r="F325" s="77">
        <v>68.099999999999994</v>
      </c>
      <c r="G325" s="78">
        <v>71.3</v>
      </c>
      <c r="H325" s="77">
        <v>162.80000000000001</v>
      </c>
      <c r="I325" s="77">
        <v>124.3</v>
      </c>
      <c r="J325" s="78">
        <v>130</v>
      </c>
      <c r="K325" s="79">
        <v>79.2</v>
      </c>
      <c r="L325" s="79">
        <v>60.6</v>
      </c>
      <c r="M325" s="80">
        <v>63.4</v>
      </c>
    </row>
    <row r="326" spans="1:13">
      <c r="A326" s="69">
        <v>39844</v>
      </c>
      <c r="B326" s="67">
        <v>144.80000000000001</v>
      </c>
      <c r="C326" s="67">
        <v>112.3</v>
      </c>
      <c r="D326" s="76">
        <v>117.1</v>
      </c>
      <c r="E326" s="67">
        <v>90.2</v>
      </c>
      <c r="F326" s="67">
        <v>70.099999999999994</v>
      </c>
      <c r="G326" s="76">
        <v>73.2</v>
      </c>
      <c r="H326" s="67">
        <v>154.9</v>
      </c>
      <c r="I326" s="67">
        <v>120.1</v>
      </c>
      <c r="J326" s="76">
        <v>125.2</v>
      </c>
      <c r="K326" s="68">
        <v>79.5</v>
      </c>
      <c r="L326" s="68">
        <v>61.7</v>
      </c>
      <c r="M326" s="70">
        <v>64.5</v>
      </c>
    </row>
    <row r="327" spans="1:13">
      <c r="A327" s="69">
        <v>39872</v>
      </c>
      <c r="B327" s="77">
        <v>146.1</v>
      </c>
      <c r="C327" s="77">
        <v>110.5</v>
      </c>
      <c r="D327" s="78">
        <v>113.1</v>
      </c>
      <c r="E327" s="77">
        <v>90.2</v>
      </c>
      <c r="F327" s="77">
        <v>68.3</v>
      </c>
      <c r="G327" s="78">
        <v>70.099999999999994</v>
      </c>
      <c r="H327" s="77">
        <v>156.5</v>
      </c>
      <c r="I327" s="77">
        <v>118.3</v>
      </c>
      <c r="J327" s="78">
        <v>121.1</v>
      </c>
      <c r="K327" s="79">
        <v>79.599999999999994</v>
      </c>
      <c r="L327" s="79">
        <v>60.3</v>
      </c>
      <c r="M327" s="80">
        <v>61.8</v>
      </c>
    </row>
    <row r="328" spans="1:13">
      <c r="A328" s="69">
        <v>39903</v>
      </c>
      <c r="B328" s="67">
        <v>134.6</v>
      </c>
      <c r="C328" s="67">
        <v>104.7</v>
      </c>
      <c r="D328" s="76">
        <v>106.7</v>
      </c>
      <c r="E328" s="67">
        <v>89.4</v>
      </c>
      <c r="F328" s="67">
        <v>69.599999999999994</v>
      </c>
      <c r="G328" s="76">
        <v>71.099999999999994</v>
      </c>
      <c r="H328" s="67">
        <v>143</v>
      </c>
      <c r="I328" s="67">
        <v>111.1</v>
      </c>
      <c r="J328" s="76">
        <v>113.3</v>
      </c>
      <c r="K328" s="68">
        <v>81.7</v>
      </c>
      <c r="L328" s="68">
        <v>63.6</v>
      </c>
      <c r="M328" s="70">
        <v>64.900000000000006</v>
      </c>
    </row>
    <row r="329" spans="1:13">
      <c r="A329" s="69">
        <v>39933</v>
      </c>
      <c r="B329" s="77">
        <v>116</v>
      </c>
      <c r="C329" s="77">
        <v>96</v>
      </c>
      <c r="D329" s="78">
        <v>98.6</v>
      </c>
      <c r="E329" s="77">
        <v>85.8</v>
      </c>
      <c r="F329" s="77">
        <v>71.2</v>
      </c>
      <c r="G329" s="78">
        <v>73.2</v>
      </c>
      <c r="H329" s="77">
        <v>121.6</v>
      </c>
      <c r="I329" s="77">
        <v>100.7</v>
      </c>
      <c r="J329" s="78">
        <v>103.3</v>
      </c>
      <c r="K329" s="79">
        <v>85.1</v>
      </c>
      <c r="L329" s="79">
        <v>70.599999999999994</v>
      </c>
      <c r="M329" s="80">
        <v>72.599999999999994</v>
      </c>
    </row>
    <row r="330" spans="1:13">
      <c r="A330" s="69">
        <v>39964</v>
      </c>
      <c r="B330" s="67">
        <v>102.6</v>
      </c>
      <c r="C330" s="67">
        <v>89.3</v>
      </c>
      <c r="D330" s="76">
        <v>93.3</v>
      </c>
      <c r="E330" s="67">
        <v>86.5</v>
      </c>
      <c r="F330" s="67">
        <v>75.5</v>
      </c>
      <c r="G330" s="76">
        <v>79</v>
      </c>
      <c r="H330" s="67">
        <v>105.6</v>
      </c>
      <c r="I330" s="67">
        <v>91.9</v>
      </c>
      <c r="J330" s="76">
        <v>96</v>
      </c>
      <c r="K330" s="68">
        <v>82.5</v>
      </c>
      <c r="L330" s="68">
        <v>71.900000000000006</v>
      </c>
      <c r="M330" s="70">
        <v>75.2</v>
      </c>
    </row>
    <row r="331" spans="1:13">
      <c r="A331" s="69">
        <v>39994</v>
      </c>
      <c r="B331" s="77">
        <v>101.7</v>
      </c>
      <c r="C331" s="77">
        <v>91.5</v>
      </c>
      <c r="D331" s="78">
        <v>97.3</v>
      </c>
      <c r="E331" s="77">
        <v>82.9</v>
      </c>
      <c r="F331" s="77">
        <v>74.8</v>
      </c>
      <c r="G331" s="78">
        <v>79.7</v>
      </c>
      <c r="H331" s="77">
        <v>105.2</v>
      </c>
      <c r="I331" s="77">
        <v>94.7</v>
      </c>
      <c r="J331" s="78">
        <v>100.6</v>
      </c>
      <c r="K331" s="79">
        <v>85.7</v>
      </c>
      <c r="L331" s="79">
        <v>77.2</v>
      </c>
      <c r="M331" s="80">
        <v>82.2</v>
      </c>
    </row>
    <row r="332" spans="1:13">
      <c r="A332" s="69">
        <v>40025</v>
      </c>
      <c r="B332" s="67">
        <v>99.8</v>
      </c>
      <c r="C332" s="67">
        <v>89.7</v>
      </c>
      <c r="D332" s="76">
        <v>95.8</v>
      </c>
      <c r="E332" s="67">
        <v>81.599999999999994</v>
      </c>
      <c r="F332" s="67">
        <v>73.400000000000006</v>
      </c>
      <c r="G332" s="76">
        <v>78.5</v>
      </c>
      <c r="H332" s="67">
        <v>103.2</v>
      </c>
      <c r="I332" s="67">
        <v>92.7</v>
      </c>
      <c r="J332" s="76">
        <v>99</v>
      </c>
      <c r="K332" s="68">
        <v>89.2</v>
      </c>
      <c r="L332" s="68">
        <v>80.2</v>
      </c>
      <c r="M332" s="70">
        <v>85.8</v>
      </c>
    </row>
    <row r="333" spans="1:13">
      <c r="A333" s="69">
        <v>40056</v>
      </c>
      <c r="B333" s="77">
        <v>99.1</v>
      </c>
      <c r="C333" s="77">
        <v>91.9</v>
      </c>
      <c r="D333" s="78">
        <v>98.7</v>
      </c>
      <c r="E333" s="77">
        <v>79.400000000000006</v>
      </c>
      <c r="F333" s="77">
        <v>73.8</v>
      </c>
      <c r="G333" s="78">
        <v>79.3</v>
      </c>
      <c r="H333" s="77">
        <v>102.8</v>
      </c>
      <c r="I333" s="77">
        <v>95.3</v>
      </c>
      <c r="J333" s="78">
        <v>102.2</v>
      </c>
      <c r="K333" s="79">
        <v>100</v>
      </c>
      <c r="L333" s="79">
        <v>92.9</v>
      </c>
      <c r="M333" s="80">
        <v>99.8</v>
      </c>
    </row>
    <row r="334" spans="1:13">
      <c r="A334" s="69">
        <v>40086</v>
      </c>
      <c r="B334" s="67">
        <v>98.8</v>
      </c>
      <c r="C334" s="67">
        <v>93.5</v>
      </c>
      <c r="D334" s="76">
        <v>101.5</v>
      </c>
      <c r="E334" s="67">
        <v>77.3</v>
      </c>
      <c r="F334" s="67">
        <v>73.400000000000006</v>
      </c>
      <c r="G334" s="76">
        <v>79.7</v>
      </c>
      <c r="H334" s="67">
        <v>102.7</v>
      </c>
      <c r="I334" s="67">
        <v>97.2</v>
      </c>
      <c r="J334" s="76">
        <v>105.5</v>
      </c>
      <c r="K334" s="68">
        <v>96.2</v>
      </c>
      <c r="L334" s="68">
        <v>91.2</v>
      </c>
      <c r="M334" s="70">
        <v>99.1</v>
      </c>
    </row>
    <row r="335" spans="1:13">
      <c r="A335" s="69">
        <v>40117</v>
      </c>
      <c r="B335" s="77">
        <v>95.2</v>
      </c>
      <c r="C335" s="77">
        <v>94.2</v>
      </c>
      <c r="D335" s="78">
        <v>103.1</v>
      </c>
      <c r="E335" s="77">
        <v>75.7</v>
      </c>
      <c r="F335" s="77">
        <v>75</v>
      </c>
      <c r="G335" s="78">
        <v>82.2</v>
      </c>
      <c r="H335" s="77">
        <v>98.9</v>
      </c>
      <c r="I335" s="77">
        <v>97.8</v>
      </c>
      <c r="J335" s="78">
        <v>106.9</v>
      </c>
      <c r="K335" s="79">
        <v>94.1</v>
      </c>
      <c r="L335" s="79">
        <v>93.2</v>
      </c>
      <c r="M335" s="80">
        <v>102.1</v>
      </c>
    </row>
    <row r="336" spans="1:13">
      <c r="A336" s="69">
        <v>40147</v>
      </c>
      <c r="B336" s="67">
        <v>97.3</v>
      </c>
      <c r="C336" s="67">
        <v>97.1</v>
      </c>
      <c r="D336" s="76">
        <v>106.8</v>
      </c>
      <c r="E336" s="67">
        <v>77.2</v>
      </c>
      <c r="F336" s="67">
        <v>77.099999999999994</v>
      </c>
      <c r="G336" s="76">
        <v>85</v>
      </c>
      <c r="H336" s="67">
        <v>101.1</v>
      </c>
      <c r="I336" s="67">
        <v>100.8</v>
      </c>
      <c r="J336" s="76">
        <v>110.9</v>
      </c>
      <c r="K336" s="68">
        <v>96.4</v>
      </c>
      <c r="L336" s="68">
        <v>96.3</v>
      </c>
      <c r="M336" s="70">
        <v>106.2</v>
      </c>
    </row>
    <row r="337" spans="1:13">
      <c r="A337" s="69">
        <v>40178</v>
      </c>
      <c r="B337" s="77">
        <v>100.2</v>
      </c>
      <c r="C337" s="77">
        <v>98.8</v>
      </c>
      <c r="D337" s="78">
        <v>107.7</v>
      </c>
      <c r="E337" s="77">
        <v>80.3</v>
      </c>
      <c r="F337" s="77">
        <v>79.3</v>
      </c>
      <c r="G337" s="78">
        <v>86.6</v>
      </c>
      <c r="H337" s="77">
        <v>103.9</v>
      </c>
      <c r="I337" s="77">
        <v>102.5</v>
      </c>
      <c r="J337" s="78">
        <v>111.6</v>
      </c>
      <c r="K337" s="79">
        <v>105.8</v>
      </c>
      <c r="L337" s="79">
        <v>104.5</v>
      </c>
      <c r="M337" s="80">
        <v>114</v>
      </c>
    </row>
    <row r="338" spans="1:13">
      <c r="A338" s="69">
        <v>40209</v>
      </c>
      <c r="B338" s="67">
        <v>102.1</v>
      </c>
      <c r="C338" s="67">
        <v>103.4</v>
      </c>
      <c r="D338" s="76">
        <v>111.3</v>
      </c>
      <c r="E338" s="67">
        <v>80.900000000000006</v>
      </c>
      <c r="F338" s="67">
        <v>82</v>
      </c>
      <c r="G338" s="76">
        <v>88.5</v>
      </c>
      <c r="H338" s="67">
        <v>106.1</v>
      </c>
      <c r="I338" s="67">
        <v>107.3</v>
      </c>
      <c r="J338" s="76">
        <v>115.6</v>
      </c>
      <c r="K338" s="68">
        <v>107.6</v>
      </c>
      <c r="L338" s="68">
        <v>109</v>
      </c>
      <c r="M338" s="70">
        <v>117.6</v>
      </c>
    </row>
    <row r="339" spans="1:13">
      <c r="A339" s="69">
        <v>40237</v>
      </c>
      <c r="B339" s="77">
        <v>106.5</v>
      </c>
      <c r="C339" s="77">
        <v>106.3</v>
      </c>
      <c r="D339" s="78">
        <v>112.6</v>
      </c>
      <c r="E339" s="77">
        <v>82.8</v>
      </c>
      <c r="F339" s="77">
        <v>82.9</v>
      </c>
      <c r="G339" s="78">
        <v>87.9</v>
      </c>
      <c r="H339" s="77">
        <v>110.9</v>
      </c>
      <c r="I339" s="77">
        <v>110.7</v>
      </c>
      <c r="J339" s="78">
        <v>117.2</v>
      </c>
      <c r="K339" s="79">
        <v>102.6</v>
      </c>
      <c r="L339" s="79">
        <v>102.6</v>
      </c>
      <c r="M339" s="80">
        <v>108.8</v>
      </c>
    </row>
    <row r="340" spans="1:13">
      <c r="A340" s="69">
        <v>40268</v>
      </c>
      <c r="B340" s="67">
        <v>106</v>
      </c>
      <c r="C340" s="67">
        <v>109.7</v>
      </c>
      <c r="D340" s="76">
        <v>115.4</v>
      </c>
      <c r="E340" s="67">
        <v>79.400000000000006</v>
      </c>
      <c r="F340" s="67">
        <v>82.3</v>
      </c>
      <c r="G340" s="76">
        <v>86.7</v>
      </c>
      <c r="H340" s="67">
        <v>111</v>
      </c>
      <c r="I340" s="67">
        <v>114.8</v>
      </c>
      <c r="J340" s="76">
        <v>120.7</v>
      </c>
      <c r="K340" s="68">
        <v>107.5</v>
      </c>
      <c r="L340" s="68">
        <v>111.3</v>
      </c>
      <c r="M340" s="70">
        <v>117.3</v>
      </c>
    </row>
    <row r="341" spans="1:13">
      <c r="A341" s="69">
        <v>40298</v>
      </c>
      <c r="B341" s="77">
        <v>120.1</v>
      </c>
      <c r="C341" s="77">
        <v>126.9</v>
      </c>
      <c r="D341" s="78">
        <v>132.6</v>
      </c>
      <c r="E341" s="77">
        <v>78.8</v>
      </c>
      <c r="F341" s="77">
        <v>83.5</v>
      </c>
      <c r="G341" s="78">
        <v>87.4</v>
      </c>
      <c r="H341" s="77">
        <v>127.7</v>
      </c>
      <c r="I341" s="77">
        <v>135</v>
      </c>
      <c r="J341" s="78">
        <v>141</v>
      </c>
      <c r="K341" s="79">
        <v>111.3</v>
      </c>
      <c r="L341" s="79">
        <v>117.8</v>
      </c>
      <c r="M341" s="80">
        <v>123.2</v>
      </c>
    </row>
    <row r="342" spans="1:13">
      <c r="A342" s="69">
        <v>40329</v>
      </c>
      <c r="B342" s="67">
        <v>129.80000000000001</v>
      </c>
      <c r="C342" s="67">
        <v>132.4</v>
      </c>
      <c r="D342" s="76">
        <v>134.9</v>
      </c>
      <c r="E342" s="67">
        <v>80.2</v>
      </c>
      <c r="F342" s="67">
        <v>82</v>
      </c>
      <c r="G342" s="76">
        <v>83.7</v>
      </c>
      <c r="H342" s="67">
        <v>139</v>
      </c>
      <c r="I342" s="67">
        <v>141.69999999999999</v>
      </c>
      <c r="J342" s="76">
        <v>144.4</v>
      </c>
      <c r="K342" s="68">
        <v>103.3</v>
      </c>
      <c r="L342" s="68">
        <v>105.5</v>
      </c>
      <c r="M342" s="70">
        <v>107.7</v>
      </c>
    </row>
    <row r="343" spans="1:13">
      <c r="A343" s="69">
        <v>40359</v>
      </c>
      <c r="B343" s="77">
        <v>134.1</v>
      </c>
      <c r="C343" s="77">
        <v>135</v>
      </c>
      <c r="D343" s="78">
        <v>136.4</v>
      </c>
      <c r="E343" s="77">
        <v>79.099999999999994</v>
      </c>
      <c r="F343" s="77">
        <v>79.8</v>
      </c>
      <c r="G343" s="78">
        <v>80.8</v>
      </c>
      <c r="H343" s="77">
        <v>144.30000000000001</v>
      </c>
      <c r="I343" s="77">
        <v>145.19999999999999</v>
      </c>
      <c r="J343" s="78">
        <v>146.69999999999999</v>
      </c>
      <c r="K343" s="79">
        <v>98</v>
      </c>
      <c r="L343" s="79">
        <v>98.8</v>
      </c>
      <c r="M343" s="80">
        <v>99.9</v>
      </c>
    </row>
    <row r="344" spans="1:13">
      <c r="A344" s="69">
        <v>40390</v>
      </c>
      <c r="B344" s="67">
        <v>135.6</v>
      </c>
      <c r="C344" s="67">
        <v>136.80000000000001</v>
      </c>
      <c r="D344" s="76">
        <v>141.4</v>
      </c>
      <c r="E344" s="67">
        <v>81.7</v>
      </c>
      <c r="F344" s="67">
        <v>82.6</v>
      </c>
      <c r="G344" s="76">
        <v>85.5</v>
      </c>
      <c r="H344" s="67">
        <v>145.6</v>
      </c>
      <c r="I344" s="67">
        <v>146.9</v>
      </c>
      <c r="J344" s="76">
        <v>151.69999999999999</v>
      </c>
      <c r="K344" s="68">
        <v>99.2</v>
      </c>
      <c r="L344" s="68">
        <v>100.3</v>
      </c>
      <c r="M344" s="70">
        <v>103.8</v>
      </c>
    </row>
    <row r="345" spans="1:13">
      <c r="A345" s="69">
        <v>40421</v>
      </c>
      <c r="B345" s="77">
        <v>136.69999999999999</v>
      </c>
      <c r="C345" s="77">
        <v>140.6</v>
      </c>
      <c r="D345" s="78">
        <v>146.9</v>
      </c>
      <c r="E345" s="77">
        <v>89.2</v>
      </c>
      <c r="F345" s="77">
        <v>91.9</v>
      </c>
      <c r="G345" s="78">
        <v>96.2</v>
      </c>
      <c r="H345" s="77">
        <v>145.6</v>
      </c>
      <c r="I345" s="77">
        <v>149.6</v>
      </c>
      <c r="J345" s="78">
        <v>156.30000000000001</v>
      </c>
      <c r="K345" s="79">
        <v>104</v>
      </c>
      <c r="L345" s="79">
        <v>107.1</v>
      </c>
      <c r="M345" s="80">
        <v>112</v>
      </c>
    </row>
    <row r="346" spans="1:13">
      <c r="A346" s="69">
        <v>40451</v>
      </c>
      <c r="B346" s="67">
        <v>132.30000000000001</v>
      </c>
      <c r="C346" s="67">
        <v>140.80000000000001</v>
      </c>
      <c r="D346" s="76">
        <v>147.69999999999999</v>
      </c>
      <c r="E346" s="67">
        <v>93</v>
      </c>
      <c r="F346" s="67">
        <v>99.2</v>
      </c>
      <c r="G346" s="76">
        <v>104.2</v>
      </c>
      <c r="H346" s="67">
        <v>139.6</v>
      </c>
      <c r="I346" s="67">
        <v>148.5</v>
      </c>
      <c r="J346" s="76">
        <v>155.69999999999999</v>
      </c>
      <c r="K346" s="68">
        <v>104.6</v>
      </c>
      <c r="L346" s="68">
        <v>111.4</v>
      </c>
      <c r="M346" s="70">
        <v>117.1</v>
      </c>
    </row>
    <row r="347" spans="1:13">
      <c r="A347" s="69">
        <v>40482</v>
      </c>
      <c r="B347" s="77">
        <v>126</v>
      </c>
      <c r="C347" s="77">
        <v>136.5</v>
      </c>
      <c r="D347" s="78">
        <v>147.4</v>
      </c>
      <c r="E347" s="77">
        <v>92.6</v>
      </c>
      <c r="F347" s="77">
        <v>100.5</v>
      </c>
      <c r="G347" s="78">
        <v>108.7</v>
      </c>
      <c r="H347" s="77">
        <v>132.19999999999999</v>
      </c>
      <c r="I347" s="77">
        <v>143.1</v>
      </c>
      <c r="J347" s="78">
        <v>154.5</v>
      </c>
      <c r="K347" s="79">
        <v>107.6</v>
      </c>
      <c r="L347" s="79">
        <v>116.7</v>
      </c>
      <c r="M347" s="80">
        <v>126.2</v>
      </c>
    </row>
    <row r="348" spans="1:13">
      <c r="A348" s="69">
        <v>40512</v>
      </c>
      <c r="B348" s="67">
        <v>127</v>
      </c>
      <c r="C348" s="67">
        <v>139.6</v>
      </c>
      <c r="D348" s="76">
        <v>150</v>
      </c>
      <c r="E348" s="67">
        <v>96</v>
      </c>
      <c r="F348" s="67">
        <v>105.7</v>
      </c>
      <c r="G348" s="76">
        <v>113.8</v>
      </c>
      <c r="H348" s="67">
        <v>132.80000000000001</v>
      </c>
      <c r="I348" s="67">
        <v>145.80000000000001</v>
      </c>
      <c r="J348" s="76">
        <v>156.69999999999999</v>
      </c>
      <c r="K348" s="68">
        <v>106.2</v>
      </c>
      <c r="L348" s="68">
        <v>116.9</v>
      </c>
      <c r="M348" s="70">
        <v>125.8</v>
      </c>
    </row>
    <row r="349" spans="1:13">
      <c r="A349" s="69">
        <v>40543</v>
      </c>
      <c r="B349" s="77">
        <v>131.19999999999999</v>
      </c>
      <c r="C349" s="77">
        <v>147.1</v>
      </c>
      <c r="D349" s="78">
        <v>155.30000000000001</v>
      </c>
      <c r="E349" s="77">
        <v>102.5</v>
      </c>
      <c r="F349" s="77">
        <v>115</v>
      </c>
      <c r="G349" s="78">
        <v>121.7</v>
      </c>
      <c r="H349" s="77">
        <v>136.6</v>
      </c>
      <c r="I349" s="77">
        <v>153</v>
      </c>
      <c r="J349" s="78">
        <v>161.5</v>
      </c>
      <c r="K349" s="79">
        <v>110.4</v>
      </c>
      <c r="L349" s="79">
        <v>123.9</v>
      </c>
      <c r="M349" s="80">
        <v>131</v>
      </c>
    </row>
    <row r="350" spans="1:13">
      <c r="A350" s="69">
        <v>40574</v>
      </c>
      <c r="B350" s="67">
        <v>136.4</v>
      </c>
      <c r="C350" s="67">
        <v>152.19999999999999</v>
      </c>
      <c r="D350" s="76">
        <v>161.9</v>
      </c>
      <c r="E350" s="67">
        <v>109.1</v>
      </c>
      <c r="F350" s="67">
        <v>122</v>
      </c>
      <c r="G350" s="76">
        <v>130</v>
      </c>
      <c r="H350" s="67">
        <v>141.4</v>
      </c>
      <c r="I350" s="67">
        <v>157.80000000000001</v>
      </c>
      <c r="J350" s="76">
        <v>167.7</v>
      </c>
      <c r="K350" s="68">
        <v>114.6</v>
      </c>
      <c r="L350" s="68">
        <v>128.1</v>
      </c>
      <c r="M350" s="70">
        <v>136.4</v>
      </c>
    </row>
    <row r="351" spans="1:13">
      <c r="A351" s="69">
        <v>40602</v>
      </c>
      <c r="B351" s="77">
        <v>141</v>
      </c>
      <c r="C351" s="77">
        <v>157.80000000000001</v>
      </c>
      <c r="D351" s="78">
        <v>169.7</v>
      </c>
      <c r="E351" s="77">
        <v>115.2</v>
      </c>
      <c r="F351" s="77">
        <v>129.19999999999999</v>
      </c>
      <c r="G351" s="78">
        <v>139.1</v>
      </c>
      <c r="H351" s="77">
        <v>145.80000000000001</v>
      </c>
      <c r="I351" s="77">
        <v>163.19999999999999</v>
      </c>
      <c r="J351" s="78">
        <v>175.3</v>
      </c>
      <c r="K351" s="79">
        <v>117.1</v>
      </c>
      <c r="L351" s="79">
        <v>131.30000000000001</v>
      </c>
      <c r="M351" s="80">
        <v>141.30000000000001</v>
      </c>
    </row>
    <row r="352" spans="1:13">
      <c r="A352" s="69">
        <v>40633</v>
      </c>
      <c r="B352" s="67">
        <v>143.19999999999999</v>
      </c>
      <c r="C352" s="67">
        <v>158.69999999999999</v>
      </c>
      <c r="D352" s="76">
        <v>172.5</v>
      </c>
      <c r="E352" s="67">
        <v>111.9</v>
      </c>
      <c r="F352" s="67">
        <v>124.3</v>
      </c>
      <c r="G352" s="76">
        <v>135.30000000000001</v>
      </c>
      <c r="H352" s="67">
        <v>149</v>
      </c>
      <c r="I352" s="67">
        <v>165.1</v>
      </c>
      <c r="J352" s="76">
        <v>179.4</v>
      </c>
      <c r="K352" s="68">
        <v>115.2</v>
      </c>
      <c r="L352" s="68">
        <v>127.9</v>
      </c>
      <c r="M352" s="70">
        <v>139.19999999999999</v>
      </c>
    </row>
    <row r="353" spans="1:13">
      <c r="A353" s="69">
        <v>40663</v>
      </c>
      <c r="B353" s="77">
        <v>145.4</v>
      </c>
      <c r="C353" s="77">
        <v>167.1</v>
      </c>
      <c r="D353" s="78">
        <v>183.6</v>
      </c>
      <c r="E353" s="77">
        <v>108.1</v>
      </c>
      <c r="F353" s="77">
        <v>124.5</v>
      </c>
      <c r="G353" s="78">
        <v>137</v>
      </c>
      <c r="H353" s="77">
        <v>152.30000000000001</v>
      </c>
      <c r="I353" s="77">
        <v>175</v>
      </c>
      <c r="J353" s="78">
        <v>192.2</v>
      </c>
      <c r="K353" s="79">
        <v>112.3</v>
      </c>
      <c r="L353" s="79">
        <v>129.30000000000001</v>
      </c>
      <c r="M353" s="80">
        <v>142.19999999999999</v>
      </c>
    </row>
    <row r="354" spans="1:13">
      <c r="A354" s="69">
        <v>40694</v>
      </c>
      <c r="B354" s="67">
        <v>147.9</v>
      </c>
      <c r="C354" s="67">
        <v>171.4</v>
      </c>
      <c r="D354" s="76">
        <v>188.6</v>
      </c>
      <c r="E354" s="67">
        <v>103.4</v>
      </c>
      <c r="F354" s="67">
        <v>120.2</v>
      </c>
      <c r="G354" s="76">
        <v>132.4</v>
      </c>
      <c r="H354" s="67">
        <v>156.1</v>
      </c>
      <c r="I354" s="67">
        <v>180.9</v>
      </c>
      <c r="J354" s="76">
        <v>198.9</v>
      </c>
      <c r="K354" s="68">
        <v>105.4</v>
      </c>
      <c r="L354" s="68">
        <v>122.3</v>
      </c>
      <c r="M354" s="70">
        <v>134.69999999999999</v>
      </c>
    </row>
    <row r="355" spans="1:13">
      <c r="A355" s="69">
        <v>40724</v>
      </c>
      <c r="B355" s="77">
        <v>149.6</v>
      </c>
      <c r="C355" s="77">
        <v>171.9</v>
      </c>
      <c r="D355" s="78">
        <v>189.2</v>
      </c>
      <c r="E355" s="77">
        <v>100.5</v>
      </c>
      <c r="F355" s="77">
        <v>115.7</v>
      </c>
      <c r="G355" s="78">
        <v>127.6</v>
      </c>
      <c r="H355" s="77">
        <v>158.69999999999999</v>
      </c>
      <c r="I355" s="77">
        <v>182.3</v>
      </c>
      <c r="J355" s="78">
        <v>200.6</v>
      </c>
      <c r="K355" s="79">
        <v>106.1</v>
      </c>
      <c r="L355" s="79">
        <v>122.1</v>
      </c>
      <c r="M355" s="80">
        <v>134.6</v>
      </c>
    </row>
    <row r="356" spans="1:13">
      <c r="A356" s="69">
        <v>40755</v>
      </c>
      <c r="B356" s="67">
        <v>147.4</v>
      </c>
      <c r="C356" s="67">
        <v>172.5</v>
      </c>
      <c r="D356" s="76">
        <v>189.4</v>
      </c>
      <c r="E356" s="67">
        <v>94.3</v>
      </c>
      <c r="F356" s="67">
        <v>110.5</v>
      </c>
      <c r="G356" s="76">
        <v>121.5</v>
      </c>
      <c r="H356" s="67">
        <v>157.30000000000001</v>
      </c>
      <c r="I356" s="67">
        <v>184</v>
      </c>
      <c r="J356" s="76">
        <v>201.9</v>
      </c>
      <c r="K356" s="68">
        <v>107.9</v>
      </c>
      <c r="L356" s="68">
        <v>126.4</v>
      </c>
      <c r="M356" s="70">
        <v>138.9</v>
      </c>
    </row>
    <row r="357" spans="1:13">
      <c r="A357" s="69">
        <v>40786</v>
      </c>
      <c r="B357" s="77">
        <v>150.69999999999999</v>
      </c>
      <c r="C357" s="77">
        <v>170.9</v>
      </c>
      <c r="D357" s="78">
        <v>188.9</v>
      </c>
      <c r="E357" s="77">
        <v>97.1</v>
      </c>
      <c r="F357" s="77">
        <v>110.4</v>
      </c>
      <c r="G357" s="78">
        <v>122.2</v>
      </c>
      <c r="H357" s="77">
        <v>160.6</v>
      </c>
      <c r="I357" s="77">
        <v>182.1</v>
      </c>
      <c r="J357" s="78">
        <v>201.2</v>
      </c>
      <c r="K357" s="79">
        <v>102.8</v>
      </c>
      <c r="L357" s="79">
        <v>116.8</v>
      </c>
      <c r="M357" s="80">
        <v>129.19999999999999</v>
      </c>
    </row>
    <row r="358" spans="1:13">
      <c r="A358" s="69">
        <v>40816</v>
      </c>
      <c r="B358" s="67">
        <v>151</v>
      </c>
      <c r="C358" s="67">
        <v>169.8</v>
      </c>
      <c r="D358" s="76">
        <v>184.4</v>
      </c>
      <c r="E358" s="67">
        <v>97.6</v>
      </c>
      <c r="F358" s="67">
        <v>109.9</v>
      </c>
      <c r="G358" s="76">
        <v>119.6</v>
      </c>
      <c r="H358" s="67">
        <v>160.9</v>
      </c>
      <c r="I358" s="67">
        <v>180.9</v>
      </c>
      <c r="J358" s="76">
        <v>196.4</v>
      </c>
      <c r="K358" s="68">
        <v>99.7</v>
      </c>
      <c r="L358" s="68">
        <v>112.2</v>
      </c>
      <c r="M358" s="70">
        <v>122.1</v>
      </c>
    </row>
    <row r="359" spans="1:13">
      <c r="A359" s="69">
        <v>40847</v>
      </c>
      <c r="B359" s="77">
        <v>146.4</v>
      </c>
      <c r="C359" s="77">
        <v>163.4</v>
      </c>
      <c r="D359" s="78">
        <v>176.7</v>
      </c>
      <c r="E359" s="77">
        <v>94</v>
      </c>
      <c r="F359" s="77">
        <v>105.2</v>
      </c>
      <c r="G359" s="78">
        <v>113.9</v>
      </c>
      <c r="H359" s="77">
        <v>156.1</v>
      </c>
      <c r="I359" s="77">
        <v>174.2</v>
      </c>
      <c r="J359" s="78">
        <v>188.3</v>
      </c>
      <c r="K359" s="79">
        <v>92.4</v>
      </c>
      <c r="L359" s="79">
        <v>103.2</v>
      </c>
      <c r="M359" s="80">
        <v>111.8</v>
      </c>
    </row>
    <row r="360" spans="1:13">
      <c r="A360" s="69">
        <v>40877</v>
      </c>
      <c r="B360" s="67">
        <v>139.69999999999999</v>
      </c>
      <c r="C360" s="67">
        <v>156.1</v>
      </c>
      <c r="D360" s="76">
        <v>168.4</v>
      </c>
      <c r="E360" s="67">
        <v>92.6</v>
      </c>
      <c r="F360" s="67">
        <v>103.7</v>
      </c>
      <c r="G360" s="76">
        <v>112</v>
      </c>
      <c r="H360" s="67">
        <v>148.4</v>
      </c>
      <c r="I360" s="67">
        <v>165.8</v>
      </c>
      <c r="J360" s="76">
        <v>178.7</v>
      </c>
      <c r="K360" s="68">
        <v>91.5</v>
      </c>
      <c r="L360" s="68">
        <v>102.4</v>
      </c>
      <c r="M360" s="70">
        <v>110.6</v>
      </c>
    </row>
    <row r="361" spans="1:13">
      <c r="A361" s="69">
        <v>40908</v>
      </c>
      <c r="B361" s="77">
        <v>135</v>
      </c>
      <c r="C361" s="77">
        <v>153.19999999999999</v>
      </c>
      <c r="D361" s="78">
        <v>163</v>
      </c>
      <c r="E361" s="77">
        <v>90.1</v>
      </c>
      <c r="F361" s="77">
        <v>102.4</v>
      </c>
      <c r="G361" s="78">
        <v>109.2</v>
      </c>
      <c r="H361" s="77">
        <v>143.19999999999999</v>
      </c>
      <c r="I361" s="77">
        <v>162.5</v>
      </c>
      <c r="J361" s="78">
        <v>172.9</v>
      </c>
      <c r="K361" s="79">
        <v>90.3</v>
      </c>
      <c r="L361" s="79">
        <v>102.6</v>
      </c>
      <c r="M361" s="80">
        <v>109.4</v>
      </c>
    </row>
    <row r="362" spans="1:13">
      <c r="A362" s="69">
        <v>40939</v>
      </c>
      <c r="B362" s="67">
        <v>130.9</v>
      </c>
      <c r="C362" s="67">
        <v>153.6</v>
      </c>
      <c r="D362" s="76">
        <v>162.19999999999999</v>
      </c>
      <c r="E362" s="67">
        <v>90.3</v>
      </c>
      <c r="F362" s="67">
        <v>106.1</v>
      </c>
      <c r="G362" s="76">
        <v>112.3</v>
      </c>
      <c r="H362" s="67">
        <v>138.4</v>
      </c>
      <c r="I362" s="67">
        <v>162.19999999999999</v>
      </c>
      <c r="J362" s="76">
        <v>171.3</v>
      </c>
      <c r="K362" s="68">
        <v>93.3</v>
      </c>
      <c r="L362" s="68">
        <v>109.5</v>
      </c>
      <c r="M362" s="70">
        <v>115.8</v>
      </c>
    </row>
    <row r="363" spans="1:13">
      <c r="A363" s="69">
        <v>40968</v>
      </c>
      <c r="B363" s="77">
        <v>128.1</v>
      </c>
      <c r="C363" s="77">
        <v>153.80000000000001</v>
      </c>
      <c r="D363" s="78">
        <v>163.9</v>
      </c>
      <c r="E363" s="77">
        <v>89</v>
      </c>
      <c r="F363" s="77">
        <v>107</v>
      </c>
      <c r="G363" s="78">
        <v>114.3</v>
      </c>
      <c r="H363" s="77">
        <v>135.19999999999999</v>
      </c>
      <c r="I363" s="77">
        <v>162.30000000000001</v>
      </c>
      <c r="J363" s="78">
        <v>172.9</v>
      </c>
      <c r="K363" s="79">
        <v>93.5</v>
      </c>
      <c r="L363" s="79">
        <v>112.4</v>
      </c>
      <c r="M363" s="80">
        <v>119.9</v>
      </c>
    </row>
    <row r="364" spans="1:13">
      <c r="A364" s="69">
        <v>40999</v>
      </c>
      <c r="B364" s="67">
        <v>131.4</v>
      </c>
      <c r="C364" s="67">
        <v>155.80000000000001</v>
      </c>
      <c r="D364" s="76">
        <v>165.2</v>
      </c>
      <c r="E364" s="67">
        <v>91.6</v>
      </c>
      <c r="F364" s="67">
        <v>108.9</v>
      </c>
      <c r="G364" s="76">
        <v>115.7</v>
      </c>
      <c r="H364" s="67">
        <v>138.6</v>
      </c>
      <c r="I364" s="67">
        <v>164.3</v>
      </c>
      <c r="J364" s="76">
        <v>174.2</v>
      </c>
      <c r="K364" s="68">
        <v>93.9</v>
      </c>
      <c r="L364" s="68">
        <v>111.5</v>
      </c>
      <c r="M364" s="70">
        <v>118.5</v>
      </c>
    </row>
    <row r="365" spans="1:13">
      <c r="A365" s="69">
        <v>41029</v>
      </c>
      <c r="B365" s="77">
        <v>130.9</v>
      </c>
      <c r="C365" s="77">
        <v>152.1</v>
      </c>
      <c r="D365" s="78">
        <v>161.5</v>
      </c>
      <c r="E365" s="77">
        <v>90.5</v>
      </c>
      <c r="F365" s="77">
        <v>105.4</v>
      </c>
      <c r="G365" s="78">
        <v>112.1</v>
      </c>
      <c r="H365" s="77">
        <v>138.30000000000001</v>
      </c>
      <c r="I365" s="77">
        <v>160.6</v>
      </c>
      <c r="J365" s="78">
        <v>170.5</v>
      </c>
      <c r="K365" s="79">
        <v>92.4</v>
      </c>
      <c r="L365" s="79">
        <v>107.5</v>
      </c>
      <c r="M365" s="80">
        <v>114.3</v>
      </c>
    </row>
    <row r="366" spans="1:13">
      <c r="A366" s="69">
        <v>41060</v>
      </c>
      <c r="B366" s="67">
        <v>133</v>
      </c>
      <c r="C366" s="67">
        <v>150.4</v>
      </c>
      <c r="D366" s="76">
        <v>158.5</v>
      </c>
      <c r="E366" s="67">
        <v>89.3</v>
      </c>
      <c r="F366" s="67">
        <v>101.2</v>
      </c>
      <c r="G366" s="76">
        <v>106.9</v>
      </c>
      <c r="H366" s="67">
        <v>141</v>
      </c>
      <c r="I366" s="67">
        <v>159.4</v>
      </c>
      <c r="J366" s="76">
        <v>168</v>
      </c>
      <c r="K366" s="68">
        <v>92.3</v>
      </c>
      <c r="L366" s="68">
        <v>104.4</v>
      </c>
      <c r="M366" s="70">
        <v>110.3</v>
      </c>
    </row>
    <row r="367" spans="1:13">
      <c r="A367" s="69">
        <v>41090</v>
      </c>
      <c r="B367" s="77">
        <v>129.69999999999999</v>
      </c>
      <c r="C367" s="77">
        <v>148</v>
      </c>
      <c r="D367" s="78">
        <v>154.4</v>
      </c>
      <c r="E367" s="77">
        <v>87.4</v>
      </c>
      <c r="F367" s="77">
        <v>100</v>
      </c>
      <c r="G367" s="78">
        <v>104.5</v>
      </c>
      <c r="H367" s="77">
        <v>137.4</v>
      </c>
      <c r="I367" s="77">
        <v>156.80000000000001</v>
      </c>
      <c r="J367" s="78">
        <v>163.5</v>
      </c>
      <c r="K367" s="79">
        <v>87.1</v>
      </c>
      <c r="L367" s="79">
        <v>99.6</v>
      </c>
      <c r="M367" s="80">
        <v>104</v>
      </c>
    </row>
    <row r="368" spans="1:13">
      <c r="A368" s="69">
        <v>41121</v>
      </c>
      <c r="B368" s="67">
        <v>125</v>
      </c>
      <c r="C368" s="67">
        <v>148</v>
      </c>
      <c r="D368" s="76">
        <v>153.5</v>
      </c>
      <c r="E368" s="67">
        <v>93.1</v>
      </c>
      <c r="F368" s="67">
        <v>110.4</v>
      </c>
      <c r="G368" s="76">
        <v>114.7</v>
      </c>
      <c r="H368" s="67">
        <v>130.69999999999999</v>
      </c>
      <c r="I368" s="67">
        <v>154.69999999999999</v>
      </c>
      <c r="J368" s="76">
        <v>160.30000000000001</v>
      </c>
      <c r="K368" s="68">
        <v>84.8</v>
      </c>
      <c r="L368" s="68">
        <v>100.6</v>
      </c>
      <c r="M368" s="70">
        <v>104.4</v>
      </c>
    </row>
    <row r="369" spans="1:13">
      <c r="A369" s="69">
        <v>41152</v>
      </c>
      <c r="B369" s="77">
        <v>119.6</v>
      </c>
      <c r="C369" s="77">
        <v>143.6</v>
      </c>
      <c r="D369" s="78">
        <v>149.4</v>
      </c>
      <c r="E369" s="77">
        <v>91</v>
      </c>
      <c r="F369" s="77">
        <v>109.4</v>
      </c>
      <c r="G369" s="78">
        <v>114</v>
      </c>
      <c r="H369" s="77">
        <v>124.7</v>
      </c>
      <c r="I369" s="77">
        <v>149.6</v>
      </c>
      <c r="J369" s="78">
        <v>155.6</v>
      </c>
      <c r="K369" s="79">
        <v>82.4</v>
      </c>
      <c r="L369" s="79">
        <v>99</v>
      </c>
      <c r="M369" s="80">
        <v>103.2</v>
      </c>
    </row>
    <row r="370" spans="1:13">
      <c r="A370" s="69">
        <v>41182</v>
      </c>
      <c r="B370" s="67">
        <v>113.9</v>
      </c>
      <c r="C370" s="67">
        <v>133.6</v>
      </c>
      <c r="D370" s="76">
        <v>141.19999999999999</v>
      </c>
      <c r="E370" s="67">
        <v>91.4</v>
      </c>
      <c r="F370" s="67">
        <v>107.5</v>
      </c>
      <c r="G370" s="76">
        <v>113.8</v>
      </c>
      <c r="H370" s="67">
        <v>117.8</v>
      </c>
      <c r="I370" s="67">
        <v>138.19999999999999</v>
      </c>
      <c r="J370" s="76">
        <v>146</v>
      </c>
      <c r="K370" s="68">
        <v>91.5</v>
      </c>
      <c r="L370" s="68">
        <v>107.5</v>
      </c>
      <c r="M370" s="70">
        <v>113.8</v>
      </c>
    </row>
    <row r="371" spans="1:13">
      <c r="A371" s="69">
        <v>41213</v>
      </c>
      <c r="B371" s="77">
        <v>111.8</v>
      </c>
      <c r="C371" s="77">
        <v>129.6</v>
      </c>
      <c r="D371" s="78">
        <v>137.4</v>
      </c>
      <c r="E371" s="77">
        <v>92.4</v>
      </c>
      <c r="F371" s="77">
        <v>107.3</v>
      </c>
      <c r="G371" s="78">
        <v>113.9</v>
      </c>
      <c r="H371" s="77">
        <v>115.2</v>
      </c>
      <c r="I371" s="77">
        <v>133.5</v>
      </c>
      <c r="J371" s="78">
        <v>141.5</v>
      </c>
      <c r="K371" s="79">
        <v>90</v>
      </c>
      <c r="L371" s="79">
        <v>104.5</v>
      </c>
      <c r="M371" s="80">
        <v>110.9</v>
      </c>
    </row>
    <row r="372" spans="1:13">
      <c r="A372" s="69">
        <v>41243</v>
      </c>
      <c r="B372" s="67">
        <v>111.8</v>
      </c>
      <c r="C372" s="67">
        <v>131.9</v>
      </c>
      <c r="D372" s="76">
        <v>138.80000000000001</v>
      </c>
      <c r="E372" s="67">
        <v>90.9</v>
      </c>
      <c r="F372" s="67">
        <v>107.5</v>
      </c>
      <c r="G372" s="76">
        <v>113.4</v>
      </c>
      <c r="H372" s="67">
        <v>115.4</v>
      </c>
      <c r="I372" s="67">
        <v>136.1</v>
      </c>
      <c r="J372" s="76">
        <v>143.19999999999999</v>
      </c>
      <c r="K372" s="68">
        <v>87.1</v>
      </c>
      <c r="L372" s="68">
        <v>102.9</v>
      </c>
      <c r="M372" s="70">
        <v>108.5</v>
      </c>
    </row>
    <row r="373" spans="1:13">
      <c r="A373" s="69">
        <v>41274</v>
      </c>
      <c r="B373" s="77">
        <v>112.4</v>
      </c>
      <c r="C373" s="77">
        <v>132.5</v>
      </c>
      <c r="D373" s="78">
        <v>140.30000000000001</v>
      </c>
      <c r="E373" s="77">
        <v>90.8</v>
      </c>
      <c r="F373" s="77">
        <v>107.3</v>
      </c>
      <c r="G373" s="78">
        <v>113.8</v>
      </c>
      <c r="H373" s="77">
        <v>116.1</v>
      </c>
      <c r="I373" s="77">
        <v>136.80000000000001</v>
      </c>
      <c r="J373" s="78">
        <v>144.9</v>
      </c>
      <c r="K373" s="79">
        <v>91.2</v>
      </c>
      <c r="L373" s="79">
        <v>107.7</v>
      </c>
      <c r="M373" s="80">
        <v>114.2</v>
      </c>
    </row>
    <row r="374" spans="1:13">
      <c r="A374" s="69">
        <v>41305</v>
      </c>
      <c r="B374" s="67">
        <v>118.4</v>
      </c>
      <c r="C374" s="67">
        <v>140.30000000000001</v>
      </c>
      <c r="D374" s="76">
        <v>148.19999999999999</v>
      </c>
      <c r="E374" s="67">
        <v>90.4</v>
      </c>
      <c r="F374" s="67">
        <v>107.3</v>
      </c>
      <c r="G374" s="76">
        <v>113.6</v>
      </c>
      <c r="H374" s="67">
        <v>123.3</v>
      </c>
      <c r="I374" s="67">
        <v>146.1</v>
      </c>
      <c r="J374" s="76">
        <v>154.30000000000001</v>
      </c>
      <c r="K374" s="68">
        <v>90.7</v>
      </c>
      <c r="L374" s="68">
        <v>107.7</v>
      </c>
      <c r="M374" s="70">
        <v>113.9</v>
      </c>
    </row>
    <row r="375" spans="1:13">
      <c r="A375" s="69">
        <v>41333</v>
      </c>
      <c r="B375" s="77">
        <v>122.5</v>
      </c>
      <c r="C375" s="77">
        <v>143.5</v>
      </c>
      <c r="D375" s="78">
        <v>150.9</v>
      </c>
      <c r="E375" s="77">
        <v>91.5</v>
      </c>
      <c r="F375" s="77">
        <v>107.3</v>
      </c>
      <c r="G375" s="78">
        <v>113.1</v>
      </c>
      <c r="H375" s="77">
        <v>128.1</v>
      </c>
      <c r="I375" s="77">
        <v>149.9</v>
      </c>
      <c r="J375" s="78">
        <v>157.6</v>
      </c>
      <c r="K375" s="79">
        <v>93.2</v>
      </c>
      <c r="L375" s="79">
        <v>109.2</v>
      </c>
      <c r="M375" s="80">
        <v>115</v>
      </c>
    </row>
    <row r="376" spans="1:13">
      <c r="A376" s="69">
        <v>41364</v>
      </c>
      <c r="B376" s="67">
        <v>120</v>
      </c>
      <c r="C376" s="67">
        <v>143.1</v>
      </c>
      <c r="D376" s="76">
        <v>148.1</v>
      </c>
      <c r="E376" s="67">
        <v>91.2</v>
      </c>
      <c r="F376" s="67">
        <v>108.9</v>
      </c>
      <c r="G376" s="76">
        <v>112.9</v>
      </c>
      <c r="H376" s="67">
        <v>125.2</v>
      </c>
      <c r="I376" s="67">
        <v>149.1</v>
      </c>
      <c r="J376" s="76">
        <v>154.30000000000001</v>
      </c>
      <c r="K376" s="68">
        <v>86.9</v>
      </c>
      <c r="L376" s="68">
        <v>103.7</v>
      </c>
      <c r="M376" s="70">
        <v>107.5</v>
      </c>
    </row>
    <row r="377" spans="1:13">
      <c r="A377" s="69">
        <v>41394</v>
      </c>
      <c r="B377" s="77">
        <v>118.2</v>
      </c>
      <c r="C377" s="77">
        <v>141.5</v>
      </c>
      <c r="D377" s="78">
        <v>146.4</v>
      </c>
      <c r="E377" s="77">
        <v>89.5</v>
      </c>
      <c r="F377" s="77">
        <v>107.3</v>
      </c>
      <c r="G377" s="78">
        <v>111.3</v>
      </c>
      <c r="H377" s="77">
        <v>123.3</v>
      </c>
      <c r="I377" s="77">
        <v>147.6</v>
      </c>
      <c r="J377" s="78">
        <v>152.69999999999999</v>
      </c>
      <c r="K377" s="79">
        <v>82.8</v>
      </c>
      <c r="L377" s="79">
        <v>99.3</v>
      </c>
      <c r="M377" s="80">
        <v>102.9</v>
      </c>
    </row>
    <row r="378" spans="1:13">
      <c r="A378" s="69">
        <v>41425</v>
      </c>
      <c r="B378" s="67">
        <v>120.1</v>
      </c>
      <c r="C378" s="67">
        <v>137.69999999999999</v>
      </c>
      <c r="D378" s="76">
        <v>142.1</v>
      </c>
      <c r="E378" s="67">
        <v>92.1</v>
      </c>
      <c r="F378" s="67">
        <v>105.7</v>
      </c>
      <c r="G378" s="76">
        <v>109.3</v>
      </c>
      <c r="H378" s="67">
        <v>125</v>
      </c>
      <c r="I378" s="67">
        <v>143.30000000000001</v>
      </c>
      <c r="J378" s="76">
        <v>147.80000000000001</v>
      </c>
      <c r="K378" s="68">
        <v>85.8</v>
      </c>
      <c r="L378" s="68">
        <v>98.5</v>
      </c>
      <c r="M378" s="70">
        <v>101.8</v>
      </c>
    </row>
    <row r="379" spans="1:13">
      <c r="A379" s="69">
        <v>41455</v>
      </c>
      <c r="B379" s="77">
        <v>120.4</v>
      </c>
      <c r="C379" s="77">
        <v>130.1</v>
      </c>
      <c r="D379" s="78">
        <v>135.5</v>
      </c>
      <c r="E379" s="77">
        <v>95</v>
      </c>
      <c r="F379" s="77">
        <v>102.9</v>
      </c>
      <c r="G379" s="78">
        <v>107.4</v>
      </c>
      <c r="H379" s="77">
        <v>124.8</v>
      </c>
      <c r="I379" s="77">
        <v>134.9</v>
      </c>
      <c r="J379" s="78">
        <v>140.4</v>
      </c>
      <c r="K379" s="79">
        <v>88.8</v>
      </c>
      <c r="L379" s="79">
        <v>96.1</v>
      </c>
      <c r="M379" s="80">
        <v>100.2</v>
      </c>
    </row>
    <row r="380" spans="1:13">
      <c r="A380" s="69">
        <v>41486</v>
      </c>
      <c r="B380" s="67">
        <v>123.3</v>
      </c>
      <c r="C380" s="67">
        <v>130.5</v>
      </c>
      <c r="D380" s="76">
        <v>135</v>
      </c>
      <c r="E380" s="67">
        <v>94.9</v>
      </c>
      <c r="F380" s="67">
        <v>100.6</v>
      </c>
      <c r="G380" s="76">
        <v>104.3</v>
      </c>
      <c r="H380" s="67">
        <v>128.30000000000001</v>
      </c>
      <c r="I380" s="67">
        <v>135.69999999999999</v>
      </c>
      <c r="J380" s="76">
        <v>140.4</v>
      </c>
      <c r="K380" s="68">
        <v>89.6</v>
      </c>
      <c r="L380" s="68">
        <v>94.9</v>
      </c>
      <c r="M380" s="70">
        <v>98.3</v>
      </c>
    </row>
    <row r="381" spans="1:13">
      <c r="A381" s="69">
        <v>41517</v>
      </c>
      <c r="B381" s="77">
        <v>125.3</v>
      </c>
      <c r="C381" s="77">
        <v>129.30000000000001</v>
      </c>
      <c r="D381" s="78">
        <v>135.1</v>
      </c>
      <c r="E381" s="77">
        <v>94.9</v>
      </c>
      <c r="F381" s="77">
        <v>98.1</v>
      </c>
      <c r="G381" s="78">
        <v>102.7</v>
      </c>
      <c r="H381" s="77">
        <v>130.69999999999999</v>
      </c>
      <c r="I381" s="77">
        <v>134.80000000000001</v>
      </c>
      <c r="J381" s="78">
        <v>140.80000000000001</v>
      </c>
      <c r="K381" s="79">
        <v>94.3</v>
      </c>
      <c r="L381" s="79">
        <v>97.4</v>
      </c>
      <c r="M381" s="80">
        <v>101.9</v>
      </c>
    </row>
    <row r="382" spans="1:13">
      <c r="A382" s="69">
        <v>41547</v>
      </c>
      <c r="B382" s="67">
        <v>123.6</v>
      </c>
      <c r="C382" s="67">
        <v>130.6</v>
      </c>
      <c r="D382" s="76">
        <v>136.80000000000001</v>
      </c>
      <c r="E382" s="67">
        <v>93.3</v>
      </c>
      <c r="F382" s="67">
        <v>98.8</v>
      </c>
      <c r="G382" s="76">
        <v>103.7</v>
      </c>
      <c r="H382" s="67">
        <v>128.9</v>
      </c>
      <c r="I382" s="67">
        <v>136.19999999999999</v>
      </c>
      <c r="J382" s="76">
        <v>142.6</v>
      </c>
      <c r="K382" s="68">
        <v>89.8</v>
      </c>
      <c r="L382" s="68">
        <v>95</v>
      </c>
      <c r="M382" s="70">
        <v>99.7</v>
      </c>
    </row>
    <row r="383" spans="1:13">
      <c r="A383" s="69">
        <v>41578</v>
      </c>
      <c r="B383" s="77">
        <v>120.2</v>
      </c>
      <c r="C383" s="77">
        <v>128.80000000000001</v>
      </c>
      <c r="D383" s="78">
        <v>136.4</v>
      </c>
      <c r="E383" s="77">
        <v>93.9</v>
      </c>
      <c r="F383" s="77">
        <v>100.9</v>
      </c>
      <c r="G383" s="78">
        <v>107</v>
      </c>
      <c r="H383" s="77">
        <v>124.8</v>
      </c>
      <c r="I383" s="77">
        <v>133.69999999999999</v>
      </c>
      <c r="J383" s="78">
        <v>141.6</v>
      </c>
      <c r="K383" s="79">
        <v>89.2</v>
      </c>
      <c r="L383" s="79">
        <v>95.7</v>
      </c>
      <c r="M383" s="80">
        <v>101.5</v>
      </c>
    </row>
    <row r="384" spans="1:13">
      <c r="A384" s="69">
        <v>41608</v>
      </c>
      <c r="B384" s="67">
        <v>121.5</v>
      </c>
      <c r="C384" s="67">
        <v>128.5</v>
      </c>
      <c r="D384" s="76">
        <v>135.30000000000001</v>
      </c>
      <c r="E384" s="67">
        <v>93.8</v>
      </c>
      <c r="F384" s="67">
        <v>99.3</v>
      </c>
      <c r="G384" s="76">
        <v>104.8</v>
      </c>
      <c r="H384" s="67">
        <v>126.5</v>
      </c>
      <c r="I384" s="67">
        <v>133.6</v>
      </c>
      <c r="J384" s="76">
        <v>140.69999999999999</v>
      </c>
      <c r="K384" s="68">
        <v>88.7</v>
      </c>
      <c r="L384" s="68">
        <v>93.8</v>
      </c>
      <c r="M384" s="70">
        <v>99</v>
      </c>
    </row>
    <row r="385" spans="1:18">
      <c r="A385" s="69">
        <v>41639</v>
      </c>
      <c r="B385" s="77">
        <v>127.6</v>
      </c>
      <c r="C385" s="77">
        <v>129.19999999999999</v>
      </c>
      <c r="D385" s="78">
        <v>136.69999999999999</v>
      </c>
      <c r="E385" s="77">
        <v>95.9</v>
      </c>
      <c r="F385" s="77">
        <v>97.3</v>
      </c>
      <c r="G385" s="78">
        <v>103.2</v>
      </c>
      <c r="H385" s="77">
        <v>133.19999999999999</v>
      </c>
      <c r="I385" s="77">
        <v>134.80000000000001</v>
      </c>
      <c r="J385" s="78">
        <v>142.6</v>
      </c>
      <c r="K385" s="79">
        <v>93.4</v>
      </c>
      <c r="L385" s="79">
        <v>94.7</v>
      </c>
      <c r="M385" s="80">
        <v>100.4</v>
      </c>
    </row>
    <row r="386" spans="1:18">
      <c r="A386" s="69">
        <v>41670</v>
      </c>
      <c r="B386" s="67">
        <v>127.8</v>
      </c>
      <c r="C386" s="67">
        <v>127.8</v>
      </c>
      <c r="D386" s="76">
        <v>135.1</v>
      </c>
      <c r="E386" s="67">
        <v>94.3</v>
      </c>
      <c r="F386" s="67">
        <v>94.6</v>
      </c>
      <c r="G386" s="76">
        <v>100.1</v>
      </c>
      <c r="H386" s="67">
        <v>133.69999999999999</v>
      </c>
      <c r="I386" s="67">
        <v>133.69999999999999</v>
      </c>
      <c r="J386" s="76">
        <v>141.19999999999999</v>
      </c>
      <c r="K386" s="68">
        <v>95.2</v>
      </c>
      <c r="L386" s="68">
        <v>95.3</v>
      </c>
      <c r="M386" s="70">
        <v>100.9</v>
      </c>
    </row>
    <row r="387" spans="1:18">
      <c r="A387" s="69">
        <v>41698</v>
      </c>
      <c r="B387" s="77">
        <v>125.1</v>
      </c>
      <c r="C387" s="77">
        <v>126.4</v>
      </c>
      <c r="D387" s="78">
        <v>133.9</v>
      </c>
      <c r="E387" s="77">
        <v>95.9</v>
      </c>
      <c r="F387" s="77">
        <v>97.1</v>
      </c>
      <c r="G387" s="78">
        <v>103</v>
      </c>
      <c r="H387" s="77">
        <v>130.30000000000001</v>
      </c>
      <c r="I387" s="77">
        <v>131.6</v>
      </c>
      <c r="J387" s="78">
        <v>139.30000000000001</v>
      </c>
      <c r="K387" s="79">
        <v>92.5</v>
      </c>
      <c r="L387" s="79">
        <v>93.6</v>
      </c>
      <c r="M387" s="80">
        <v>99.3</v>
      </c>
    </row>
    <row r="388" spans="1:18">
      <c r="A388" s="69">
        <v>41729</v>
      </c>
      <c r="B388" s="67">
        <v>119</v>
      </c>
      <c r="C388" s="67">
        <v>120.9</v>
      </c>
      <c r="D388" s="76">
        <v>128.80000000000001</v>
      </c>
      <c r="E388" s="67">
        <v>100.7</v>
      </c>
      <c r="F388" s="67">
        <v>102.5</v>
      </c>
      <c r="G388" s="76">
        <v>109.4</v>
      </c>
      <c r="H388" s="67">
        <v>122.3</v>
      </c>
      <c r="I388" s="67">
        <v>124.2</v>
      </c>
      <c r="J388" s="76">
        <v>132.19999999999999</v>
      </c>
      <c r="K388" s="68">
        <v>89.5</v>
      </c>
      <c r="L388" s="68">
        <v>91</v>
      </c>
      <c r="M388" s="70">
        <v>97.1</v>
      </c>
    </row>
    <row r="389" spans="1:18">
      <c r="A389" s="69">
        <v>41759</v>
      </c>
      <c r="B389" s="77">
        <v>113.8</v>
      </c>
      <c r="C389" s="77">
        <v>118.7</v>
      </c>
      <c r="D389" s="78">
        <v>126.5</v>
      </c>
      <c r="E389" s="77">
        <v>98.6</v>
      </c>
      <c r="F389" s="77">
        <v>103.1</v>
      </c>
      <c r="G389" s="78">
        <v>110</v>
      </c>
      <c r="H389" s="77">
        <v>116.5</v>
      </c>
      <c r="I389" s="77">
        <v>121.5</v>
      </c>
      <c r="J389" s="78">
        <v>129.4</v>
      </c>
      <c r="K389" s="79">
        <v>90.2</v>
      </c>
      <c r="L389" s="79">
        <v>94.2</v>
      </c>
      <c r="M389" s="80">
        <v>100.5</v>
      </c>
    </row>
    <row r="390" spans="1:18">
      <c r="A390" s="69">
        <v>41790</v>
      </c>
      <c r="B390" s="67">
        <v>110</v>
      </c>
      <c r="C390" s="67">
        <v>114.7</v>
      </c>
      <c r="D390" s="76">
        <v>122.1</v>
      </c>
      <c r="E390" s="67">
        <v>100.6</v>
      </c>
      <c r="F390" s="67">
        <v>105.1</v>
      </c>
      <c r="G390" s="76">
        <v>112.2</v>
      </c>
      <c r="H390" s="67">
        <v>111.6</v>
      </c>
      <c r="I390" s="67">
        <v>116.4</v>
      </c>
      <c r="J390" s="76">
        <v>123.9</v>
      </c>
      <c r="K390" s="68">
        <v>91</v>
      </c>
      <c r="L390" s="68">
        <v>95</v>
      </c>
      <c r="M390" s="70">
        <v>101.3</v>
      </c>
    </row>
    <row r="391" spans="1:18">
      <c r="A391" s="69">
        <v>41820</v>
      </c>
      <c r="B391" s="77">
        <v>105.4</v>
      </c>
      <c r="C391" s="77">
        <v>111.1</v>
      </c>
      <c r="D391" s="78">
        <v>117.8</v>
      </c>
      <c r="E391" s="77">
        <v>98.1</v>
      </c>
      <c r="F391" s="77">
        <v>103.6</v>
      </c>
      <c r="G391" s="78">
        <v>110</v>
      </c>
      <c r="H391" s="77">
        <v>106.7</v>
      </c>
      <c r="I391" s="77">
        <v>112.4</v>
      </c>
      <c r="J391" s="78">
        <v>119.2</v>
      </c>
      <c r="K391" s="79">
        <v>91.8</v>
      </c>
      <c r="L391" s="79">
        <v>96.9</v>
      </c>
      <c r="M391" s="80">
        <v>102.9</v>
      </c>
    </row>
    <row r="392" spans="1:18">
      <c r="A392" s="69">
        <v>41851</v>
      </c>
      <c r="B392" s="67">
        <v>103.7</v>
      </c>
      <c r="C392" s="67">
        <v>109.5</v>
      </c>
      <c r="D392" s="76">
        <v>116.2</v>
      </c>
      <c r="E392" s="67">
        <v>95.9</v>
      </c>
      <c r="F392" s="67">
        <v>101.4</v>
      </c>
      <c r="G392" s="76">
        <v>107.8</v>
      </c>
      <c r="H392" s="67">
        <v>105.1</v>
      </c>
      <c r="I392" s="67">
        <v>110.9</v>
      </c>
      <c r="J392" s="76">
        <v>117.7</v>
      </c>
      <c r="K392" s="68">
        <v>96.3</v>
      </c>
      <c r="L392" s="68">
        <v>101.8</v>
      </c>
      <c r="M392" s="70">
        <v>108.2</v>
      </c>
    </row>
    <row r="393" spans="1:18">
      <c r="A393" s="69">
        <v>41882</v>
      </c>
      <c r="B393" s="77">
        <v>102.7</v>
      </c>
      <c r="C393" s="77">
        <v>108.5</v>
      </c>
      <c r="D393" s="78">
        <v>114</v>
      </c>
      <c r="E393" s="77">
        <v>94.8</v>
      </c>
      <c r="F393" s="77">
        <v>100.4</v>
      </c>
      <c r="G393" s="78">
        <v>105.7</v>
      </c>
      <c r="H393" s="77">
        <v>104.1</v>
      </c>
      <c r="I393" s="77">
        <v>109.9</v>
      </c>
      <c r="J393" s="78">
        <v>115.5</v>
      </c>
      <c r="K393" s="79">
        <v>98.4</v>
      </c>
      <c r="L393" s="79">
        <v>104.1</v>
      </c>
      <c r="M393" s="80">
        <v>109.6</v>
      </c>
    </row>
    <row r="394" spans="1:18">
      <c r="A394" s="69">
        <v>41912</v>
      </c>
      <c r="B394" s="67">
        <v>102.5</v>
      </c>
      <c r="C394" s="67">
        <v>107.3</v>
      </c>
      <c r="D394" s="76">
        <v>110.8</v>
      </c>
      <c r="E394" s="67">
        <v>95.2</v>
      </c>
      <c r="F394" s="67">
        <v>99.7</v>
      </c>
      <c r="G394" s="76">
        <v>103.2</v>
      </c>
      <c r="H394" s="67">
        <v>103.8</v>
      </c>
      <c r="I394" s="67">
        <v>108.6</v>
      </c>
      <c r="J394" s="76">
        <v>112.2</v>
      </c>
      <c r="K394" s="68">
        <v>98.7</v>
      </c>
      <c r="L394" s="68">
        <v>103.4</v>
      </c>
      <c r="M394" s="70">
        <v>107</v>
      </c>
    </row>
    <row r="395" spans="1:18">
      <c r="A395" s="69">
        <v>41943</v>
      </c>
      <c r="B395" s="77">
        <v>101.9</v>
      </c>
      <c r="C395" s="77">
        <v>104.4</v>
      </c>
      <c r="D395" s="78">
        <v>106.8</v>
      </c>
      <c r="E395" s="77">
        <v>98.8</v>
      </c>
      <c r="F395" s="77">
        <v>101.4</v>
      </c>
      <c r="G395" s="78">
        <v>103.9</v>
      </c>
      <c r="H395" s="77">
        <v>102.4</v>
      </c>
      <c r="I395" s="77">
        <v>104.9</v>
      </c>
      <c r="J395" s="78">
        <v>107.3</v>
      </c>
      <c r="K395" s="79">
        <v>98.9</v>
      </c>
      <c r="L395" s="79">
        <v>101.5</v>
      </c>
      <c r="M395" s="80">
        <v>104</v>
      </c>
    </row>
    <row r="396" spans="1:18">
      <c r="A396" s="69">
        <v>41973</v>
      </c>
      <c r="B396" s="67">
        <v>101.3</v>
      </c>
      <c r="C396" s="67">
        <v>103.6</v>
      </c>
      <c r="D396" s="76">
        <v>104.6</v>
      </c>
      <c r="E396" s="67">
        <v>100.4</v>
      </c>
      <c r="F396" s="67">
        <v>102.8</v>
      </c>
      <c r="G396" s="76">
        <v>104</v>
      </c>
      <c r="H396" s="67">
        <v>101.5</v>
      </c>
      <c r="I396" s="67">
        <v>103.7</v>
      </c>
      <c r="J396" s="76">
        <v>104.7</v>
      </c>
      <c r="K396" s="68">
        <v>102.6</v>
      </c>
      <c r="L396" s="68">
        <v>104.9</v>
      </c>
      <c r="M396" s="70">
        <v>106.1</v>
      </c>
    </row>
    <row r="397" spans="1:18">
      <c r="A397" s="69">
        <v>42004</v>
      </c>
      <c r="B397" s="77">
        <v>102.2</v>
      </c>
      <c r="C397" s="77">
        <v>100.2</v>
      </c>
      <c r="D397" s="78">
        <v>100.5</v>
      </c>
      <c r="E397" s="77">
        <v>105.2</v>
      </c>
      <c r="F397" s="77">
        <v>103.4</v>
      </c>
      <c r="G397" s="78">
        <v>103.8</v>
      </c>
      <c r="H397" s="77">
        <v>101.7</v>
      </c>
      <c r="I397" s="77">
        <v>99.7</v>
      </c>
      <c r="J397" s="78">
        <v>99.9</v>
      </c>
      <c r="K397" s="79">
        <v>102</v>
      </c>
      <c r="L397" s="79">
        <v>100.2</v>
      </c>
      <c r="M397" s="80">
        <v>100.6</v>
      </c>
      <c r="N397" s="52"/>
      <c r="O397" s="52"/>
      <c r="R397" s="52"/>
    </row>
    <row r="398" spans="1:18">
      <c r="A398" s="69">
        <v>42035</v>
      </c>
      <c r="B398" s="67">
        <v>103.2</v>
      </c>
      <c r="C398" s="67">
        <v>101.5</v>
      </c>
      <c r="D398" s="76">
        <v>99.6</v>
      </c>
      <c r="E398" s="67">
        <v>102.7</v>
      </c>
      <c r="F398" s="67">
        <v>101.2</v>
      </c>
      <c r="G398" s="76">
        <v>99.5</v>
      </c>
      <c r="H398" s="67">
        <v>103.3</v>
      </c>
      <c r="I398" s="67">
        <v>101.6</v>
      </c>
      <c r="J398" s="76">
        <v>99.7</v>
      </c>
      <c r="K398" s="68">
        <v>97.6</v>
      </c>
      <c r="L398" s="68">
        <v>96.1</v>
      </c>
      <c r="M398" s="70">
        <v>94.5</v>
      </c>
      <c r="P398" s="52"/>
      <c r="Q398" s="52"/>
    </row>
    <row r="399" spans="1:18">
      <c r="A399" s="69">
        <v>42063</v>
      </c>
      <c r="B399" s="77">
        <v>102.9</v>
      </c>
      <c r="C399" s="77">
        <v>98.4</v>
      </c>
      <c r="D399" s="78">
        <v>95.6</v>
      </c>
      <c r="E399" s="77">
        <v>103.3</v>
      </c>
      <c r="F399" s="77">
        <v>99</v>
      </c>
      <c r="G399" s="78">
        <v>96.4</v>
      </c>
      <c r="H399" s="77">
        <v>102.8</v>
      </c>
      <c r="I399" s="77">
        <v>98.3</v>
      </c>
      <c r="J399" s="78">
        <v>95.5</v>
      </c>
      <c r="K399" s="79">
        <v>100.3</v>
      </c>
      <c r="L399" s="79">
        <v>96</v>
      </c>
      <c r="M399" s="80">
        <v>93.5</v>
      </c>
    </row>
    <row r="400" spans="1:18">
      <c r="A400" s="69">
        <v>42094</v>
      </c>
      <c r="B400" s="67">
        <v>98.5</v>
      </c>
      <c r="C400" s="67">
        <v>95.2</v>
      </c>
      <c r="D400" s="76">
        <v>90.8</v>
      </c>
      <c r="E400" s="67">
        <v>100.4</v>
      </c>
      <c r="F400" s="67">
        <v>97.2</v>
      </c>
      <c r="G400" s="76">
        <v>92.9</v>
      </c>
      <c r="H400" s="67">
        <v>98.1</v>
      </c>
      <c r="I400" s="67">
        <v>94.9</v>
      </c>
      <c r="J400" s="76">
        <v>90.5</v>
      </c>
      <c r="K400" s="68">
        <v>100.5</v>
      </c>
      <c r="L400" s="68">
        <v>97.3</v>
      </c>
      <c r="M400" s="70">
        <v>93</v>
      </c>
    </row>
    <row r="401" spans="1:13">
      <c r="A401" s="69">
        <v>42124</v>
      </c>
      <c r="B401" s="77">
        <v>93.5</v>
      </c>
      <c r="C401" s="77">
        <v>90.6</v>
      </c>
      <c r="D401" s="78">
        <v>86.1</v>
      </c>
      <c r="E401" s="77">
        <v>101.9</v>
      </c>
      <c r="F401" s="77">
        <v>98.9</v>
      </c>
      <c r="G401" s="78">
        <v>94.2</v>
      </c>
      <c r="H401" s="77">
        <v>92</v>
      </c>
      <c r="I401" s="77">
        <v>89.1</v>
      </c>
      <c r="J401" s="78">
        <v>84.7</v>
      </c>
      <c r="K401" s="79">
        <v>103.6</v>
      </c>
      <c r="L401" s="79">
        <v>100.5</v>
      </c>
      <c r="M401" s="80">
        <v>95.7</v>
      </c>
    </row>
    <row r="402" spans="1:13">
      <c r="A402" s="69">
        <v>42155</v>
      </c>
      <c r="B402" s="67">
        <v>92.5</v>
      </c>
      <c r="C402" s="67">
        <v>90.2</v>
      </c>
      <c r="D402" s="76">
        <v>87.2</v>
      </c>
      <c r="E402" s="67">
        <v>100</v>
      </c>
      <c r="F402" s="67">
        <v>97.7</v>
      </c>
      <c r="G402" s="76">
        <v>94.7</v>
      </c>
      <c r="H402" s="67">
        <v>91.2</v>
      </c>
      <c r="I402" s="67">
        <v>88.9</v>
      </c>
      <c r="J402" s="76">
        <v>85.9</v>
      </c>
      <c r="K402" s="68">
        <v>103.1</v>
      </c>
      <c r="L402" s="68">
        <v>100.6</v>
      </c>
      <c r="M402" s="70">
        <v>97.4</v>
      </c>
    </row>
    <row r="403" spans="1:13">
      <c r="A403" s="69">
        <v>42185</v>
      </c>
      <c r="B403" s="77">
        <v>95.1</v>
      </c>
      <c r="C403" s="77">
        <v>90.7</v>
      </c>
      <c r="D403" s="78">
        <v>87.6</v>
      </c>
      <c r="E403" s="77">
        <v>101.4</v>
      </c>
      <c r="F403" s="77">
        <v>96.9</v>
      </c>
      <c r="G403" s="78">
        <v>93.8</v>
      </c>
      <c r="H403" s="77">
        <v>94</v>
      </c>
      <c r="I403" s="77">
        <v>89.6</v>
      </c>
      <c r="J403" s="78">
        <v>86.5</v>
      </c>
      <c r="K403" s="79">
        <v>98</v>
      </c>
      <c r="L403" s="79">
        <v>93.5</v>
      </c>
      <c r="M403" s="80">
        <v>90.5</v>
      </c>
    </row>
    <row r="404" spans="1:13">
      <c r="A404" s="69">
        <v>42216</v>
      </c>
      <c r="B404" s="67">
        <v>94</v>
      </c>
      <c r="C404" s="67">
        <v>86.6</v>
      </c>
      <c r="D404" s="76">
        <v>83.2</v>
      </c>
      <c r="E404" s="67">
        <v>103.6</v>
      </c>
      <c r="F404" s="67">
        <v>95.6</v>
      </c>
      <c r="G404" s="76">
        <v>92.1</v>
      </c>
      <c r="H404" s="67">
        <v>92.3</v>
      </c>
      <c r="I404" s="67">
        <v>85</v>
      </c>
      <c r="J404" s="76">
        <v>81.7</v>
      </c>
      <c r="K404" s="68">
        <v>97.1</v>
      </c>
      <c r="L404" s="68">
        <v>89.6</v>
      </c>
      <c r="M404" s="70">
        <v>86.2</v>
      </c>
    </row>
    <row r="405" spans="1:13">
      <c r="A405" s="69">
        <v>42247</v>
      </c>
      <c r="B405" s="77">
        <v>94</v>
      </c>
      <c r="C405" s="77">
        <v>84.8</v>
      </c>
      <c r="D405" s="78">
        <v>81.8</v>
      </c>
      <c r="E405" s="77">
        <v>103.1</v>
      </c>
      <c r="F405" s="77">
        <v>93.2</v>
      </c>
      <c r="G405" s="78">
        <v>90.1</v>
      </c>
      <c r="H405" s="77">
        <v>92.4</v>
      </c>
      <c r="I405" s="77">
        <v>83.3</v>
      </c>
      <c r="J405" s="78">
        <v>80.400000000000006</v>
      </c>
      <c r="K405" s="79">
        <v>92.8</v>
      </c>
      <c r="L405" s="79">
        <v>83.8</v>
      </c>
      <c r="M405" s="80">
        <v>81</v>
      </c>
    </row>
    <row r="406" spans="1:13">
      <c r="A406" s="69">
        <v>42277</v>
      </c>
      <c r="B406" s="67">
        <v>96.7</v>
      </c>
      <c r="C406" s="67">
        <v>84.1</v>
      </c>
      <c r="D406" s="76">
        <v>81.400000000000006</v>
      </c>
      <c r="E406" s="67">
        <v>103.7</v>
      </c>
      <c r="F406" s="67">
        <v>90.4</v>
      </c>
      <c r="G406" s="76">
        <v>87.6</v>
      </c>
      <c r="H406" s="67">
        <v>95.5</v>
      </c>
      <c r="I406" s="67">
        <v>83</v>
      </c>
      <c r="J406" s="76">
        <v>80.3</v>
      </c>
      <c r="K406" s="68">
        <v>96.8</v>
      </c>
      <c r="L406" s="68">
        <v>84.3</v>
      </c>
      <c r="M406" s="70">
        <v>81.7</v>
      </c>
    </row>
    <row r="407" spans="1:13">
      <c r="A407" s="69">
        <v>42308</v>
      </c>
      <c r="B407" s="77">
        <v>92.9</v>
      </c>
      <c r="C407" s="77">
        <v>82.5</v>
      </c>
      <c r="D407" s="78">
        <v>79.900000000000006</v>
      </c>
      <c r="E407" s="77">
        <v>101.8</v>
      </c>
      <c r="F407" s="77">
        <v>90.5</v>
      </c>
      <c r="G407" s="78">
        <v>87.8</v>
      </c>
      <c r="H407" s="77">
        <v>91.4</v>
      </c>
      <c r="I407" s="77">
        <v>81.099999999999994</v>
      </c>
      <c r="J407" s="78">
        <v>78.5</v>
      </c>
      <c r="K407" s="79">
        <v>93.3</v>
      </c>
      <c r="L407" s="79">
        <v>82.9</v>
      </c>
      <c r="M407" s="80">
        <v>80.400000000000006</v>
      </c>
    </row>
    <row r="408" spans="1:13">
      <c r="A408" s="69">
        <v>42338</v>
      </c>
      <c r="B408" s="67">
        <v>88.5</v>
      </c>
      <c r="C408" s="67">
        <v>79.400000000000006</v>
      </c>
      <c r="D408" s="76">
        <v>75.5</v>
      </c>
      <c r="E408" s="67">
        <v>101</v>
      </c>
      <c r="F408" s="67">
        <v>90.8</v>
      </c>
      <c r="G408" s="76">
        <v>86.5</v>
      </c>
      <c r="H408" s="67">
        <v>86.3</v>
      </c>
      <c r="I408" s="67">
        <v>77.400000000000006</v>
      </c>
      <c r="J408" s="76">
        <v>73.599999999999994</v>
      </c>
      <c r="K408" s="68">
        <v>88.4</v>
      </c>
      <c r="L408" s="68">
        <v>79.400000000000006</v>
      </c>
      <c r="M408" s="70">
        <v>75.599999999999994</v>
      </c>
    </row>
    <row r="409" spans="1:13">
      <c r="A409" s="69">
        <v>42369</v>
      </c>
      <c r="B409" s="77">
        <v>83.6</v>
      </c>
      <c r="C409" s="77">
        <v>75.8</v>
      </c>
      <c r="D409" s="78">
        <v>72.3</v>
      </c>
      <c r="E409" s="77">
        <v>101</v>
      </c>
      <c r="F409" s="77">
        <v>91.8</v>
      </c>
      <c r="G409" s="78">
        <v>87.6</v>
      </c>
      <c r="H409" s="77">
        <v>80.5</v>
      </c>
      <c r="I409" s="77">
        <v>73</v>
      </c>
      <c r="J409" s="78">
        <v>69.599999999999994</v>
      </c>
      <c r="K409" s="79">
        <v>87</v>
      </c>
      <c r="L409" s="79">
        <v>79</v>
      </c>
      <c r="M409" s="80">
        <v>75.400000000000006</v>
      </c>
    </row>
    <row r="410" spans="1:13">
      <c r="A410" s="69">
        <v>42400</v>
      </c>
      <c r="B410" s="67">
        <v>84.2</v>
      </c>
      <c r="C410" s="67">
        <v>74.2</v>
      </c>
      <c r="D410" s="76">
        <v>70.599999999999994</v>
      </c>
      <c r="E410" s="67">
        <v>101.1</v>
      </c>
      <c r="F410" s="67">
        <v>89.3</v>
      </c>
      <c r="G410" s="76">
        <v>85.1</v>
      </c>
      <c r="H410" s="67">
        <v>81.2</v>
      </c>
      <c r="I410" s="67">
        <v>71.599999999999994</v>
      </c>
      <c r="J410" s="76">
        <v>68.099999999999994</v>
      </c>
      <c r="K410" s="68">
        <v>87.8</v>
      </c>
      <c r="L410" s="68">
        <v>77.5</v>
      </c>
      <c r="M410" s="70">
        <v>73.8</v>
      </c>
    </row>
    <row r="411" spans="1:13">
      <c r="A411" s="69">
        <v>42429</v>
      </c>
      <c r="B411" s="77">
        <v>85.7</v>
      </c>
      <c r="C411" s="77">
        <v>76</v>
      </c>
      <c r="D411" s="78">
        <v>72.900000000000006</v>
      </c>
      <c r="E411" s="77">
        <v>99.5</v>
      </c>
      <c r="F411" s="77">
        <v>88.4</v>
      </c>
      <c r="G411" s="78">
        <v>85</v>
      </c>
      <c r="H411" s="77">
        <v>83.3</v>
      </c>
      <c r="I411" s="77">
        <v>73.8</v>
      </c>
      <c r="J411" s="78">
        <v>70.8</v>
      </c>
      <c r="K411" s="79">
        <v>90</v>
      </c>
      <c r="L411" s="79">
        <v>79.900000000000006</v>
      </c>
      <c r="M411" s="80">
        <v>76.8</v>
      </c>
    </row>
    <row r="412" spans="1:13">
      <c r="A412" s="69">
        <v>42460</v>
      </c>
      <c r="B412" s="67">
        <v>86.4</v>
      </c>
      <c r="C412" s="67">
        <v>80.400000000000006</v>
      </c>
      <c r="D412" s="76">
        <v>77.099999999999994</v>
      </c>
      <c r="E412" s="67">
        <v>98.1</v>
      </c>
      <c r="F412" s="67">
        <v>91.4</v>
      </c>
      <c r="G412" s="76">
        <v>87.9</v>
      </c>
      <c r="H412" s="67">
        <v>84.3</v>
      </c>
      <c r="I412" s="67">
        <v>78.400000000000006</v>
      </c>
      <c r="J412" s="76">
        <v>75.2</v>
      </c>
      <c r="K412" s="68">
        <v>88.5</v>
      </c>
      <c r="L412" s="68">
        <v>82.5</v>
      </c>
      <c r="M412" s="70">
        <v>79.2</v>
      </c>
    </row>
    <row r="413" spans="1:13">
      <c r="A413" s="69">
        <v>42490</v>
      </c>
      <c r="B413" s="77">
        <v>87.3</v>
      </c>
      <c r="C413" s="77">
        <v>82.4</v>
      </c>
      <c r="D413" s="78">
        <v>79.900000000000006</v>
      </c>
      <c r="E413" s="77">
        <v>96.1</v>
      </c>
      <c r="F413" s="77">
        <v>90.8</v>
      </c>
      <c r="G413" s="78">
        <v>88.2</v>
      </c>
      <c r="H413" s="77">
        <v>85.8</v>
      </c>
      <c r="I413" s="77">
        <v>80.900000000000006</v>
      </c>
      <c r="J413" s="78">
        <v>78.400000000000006</v>
      </c>
      <c r="K413" s="79">
        <v>87</v>
      </c>
      <c r="L413" s="79">
        <v>82.2</v>
      </c>
      <c r="M413" s="80">
        <v>79.8</v>
      </c>
    </row>
    <row r="414" spans="1:13">
      <c r="A414" s="69">
        <v>42521</v>
      </c>
      <c r="B414" s="67">
        <v>90.5</v>
      </c>
      <c r="C414" s="67">
        <v>81.400000000000006</v>
      </c>
      <c r="D414" s="76">
        <v>79.099999999999994</v>
      </c>
      <c r="E414" s="67">
        <v>100</v>
      </c>
      <c r="F414" s="67">
        <v>90.1</v>
      </c>
      <c r="G414" s="76">
        <v>87.7</v>
      </c>
      <c r="H414" s="67">
        <v>88.9</v>
      </c>
      <c r="I414" s="67">
        <v>79.900000000000006</v>
      </c>
      <c r="J414" s="76">
        <v>77.599999999999994</v>
      </c>
      <c r="K414" s="68">
        <v>89.7</v>
      </c>
      <c r="L414" s="68">
        <v>80.7</v>
      </c>
      <c r="M414" s="70">
        <v>78.5</v>
      </c>
    </row>
    <row r="415" spans="1:13">
      <c r="A415" s="69">
        <v>42551</v>
      </c>
      <c r="B415" s="77">
        <v>89.2</v>
      </c>
      <c r="C415" s="77">
        <v>81.3</v>
      </c>
      <c r="D415" s="78">
        <v>78.7</v>
      </c>
      <c r="E415" s="77">
        <v>102.8</v>
      </c>
      <c r="F415" s="77">
        <v>93.8</v>
      </c>
      <c r="G415" s="78">
        <v>91</v>
      </c>
      <c r="H415" s="77">
        <v>86.8</v>
      </c>
      <c r="I415" s="77">
        <v>79.099999999999994</v>
      </c>
      <c r="J415" s="78">
        <v>76.599999999999994</v>
      </c>
      <c r="K415" s="79">
        <v>90.2</v>
      </c>
      <c r="L415" s="79">
        <v>82.2</v>
      </c>
      <c r="M415" s="80">
        <v>79.8</v>
      </c>
    </row>
    <row r="416" spans="1:13">
      <c r="A416" s="69">
        <v>42582</v>
      </c>
      <c r="B416" s="67">
        <v>90.3</v>
      </c>
      <c r="C416" s="67">
        <v>84.7</v>
      </c>
      <c r="D416" s="76">
        <v>81.099999999999994</v>
      </c>
      <c r="E416" s="67">
        <v>102.3</v>
      </c>
      <c r="F416" s="67">
        <v>96.1</v>
      </c>
      <c r="G416" s="76">
        <v>92.2</v>
      </c>
      <c r="H416" s="67">
        <v>88.2</v>
      </c>
      <c r="I416" s="67">
        <v>82.7</v>
      </c>
      <c r="J416" s="76">
        <v>79.099999999999994</v>
      </c>
      <c r="K416" s="68">
        <v>92.8</v>
      </c>
      <c r="L416" s="68">
        <v>87.1</v>
      </c>
      <c r="M416" s="70">
        <v>83.5</v>
      </c>
    </row>
    <row r="417" spans="1:13">
      <c r="A417" s="69">
        <v>42613</v>
      </c>
      <c r="B417" s="77">
        <v>92</v>
      </c>
      <c r="C417" s="77">
        <v>86.9</v>
      </c>
      <c r="D417" s="78">
        <v>83.7</v>
      </c>
      <c r="E417" s="77">
        <v>98.3</v>
      </c>
      <c r="F417" s="77">
        <v>93.1</v>
      </c>
      <c r="G417" s="78">
        <v>89.8</v>
      </c>
      <c r="H417" s="77">
        <v>90.8</v>
      </c>
      <c r="I417" s="77">
        <v>85.8</v>
      </c>
      <c r="J417" s="78">
        <v>82.6</v>
      </c>
      <c r="K417" s="79">
        <v>91.6</v>
      </c>
      <c r="L417" s="79">
        <v>86.7</v>
      </c>
      <c r="M417" s="80">
        <v>83.6</v>
      </c>
    </row>
    <row r="418" spans="1:13">
      <c r="A418" s="69">
        <v>42643</v>
      </c>
      <c r="B418" s="67">
        <v>94.4</v>
      </c>
      <c r="C418" s="67">
        <v>88.8</v>
      </c>
      <c r="D418" s="76">
        <v>85.5</v>
      </c>
      <c r="E418" s="67">
        <v>96.4</v>
      </c>
      <c r="F418" s="67">
        <v>90.9</v>
      </c>
      <c r="G418" s="76">
        <v>87.7</v>
      </c>
      <c r="H418" s="67">
        <v>94</v>
      </c>
      <c r="I418" s="67">
        <v>88.5</v>
      </c>
      <c r="J418" s="76">
        <v>85.1</v>
      </c>
      <c r="K418" s="68">
        <v>91.2</v>
      </c>
      <c r="L418" s="68">
        <v>86</v>
      </c>
      <c r="M418" s="70">
        <v>82.9</v>
      </c>
    </row>
    <row r="419" spans="1:13">
      <c r="A419" s="69">
        <v>42674</v>
      </c>
      <c r="B419" s="77">
        <v>96.8</v>
      </c>
      <c r="C419" s="77">
        <v>92.5</v>
      </c>
      <c r="D419" s="78">
        <v>87.9</v>
      </c>
      <c r="E419" s="77">
        <v>96.7</v>
      </c>
      <c r="F419" s="77">
        <v>92.6</v>
      </c>
      <c r="G419" s="78">
        <v>88.2</v>
      </c>
      <c r="H419" s="77">
        <v>96.8</v>
      </c>
      <c r="I419" s="77">
        <v>92.5</v>
      </c>
      <c r="J419" s="78">
        <v>87.9</v>
      </c>
      <c r="K419" s="79">
        <v>93.3</v>
      </c>
      <c r="L419" s="79">
        <v>89.3</v>
      </c>
      <c r="M419" s="80">
        <v>85</v>
      </c>
    </row>
    <row r="420" spans="1:13">
      <c r="A420" s="69">
        <v>42704</v>
      </c>
      <c r="B420" s="67">
        <v>105.5</v>
      </c>
      <c r="C420" s="67">
        <v>100.9</v>
      </c>
      <c r="D420" s="76">
        <v>94.9</v>
      </c>
      <c r="E420" s="67">
        <v>96.7</v>
      </c>
      <c r="F420" s="67">
        <v>92.6</v>
      </c>
      <c r="G420" s="76">
        <v>87.3</v>
      </c>
      <c r="H420" s="67">
        <v>107.1</v>
      </c>
      <c r="I420" s="67">
        <v>102.3</v>
      </c>
      <c r="J420" s="76">
        <v>96.2</v>
      </c>
      <c r="K420" s="68">
        <v>102.7</v>
      </c>
      <c r="L420" s="68">
        <v>98.3</v>
      </c>
      <c r="M420" s="70">
        <v>92.6</v>
      </c>
    </row>
    <row r="421" spans="1:13" ht="15.75" thickBot="1">
      <c r="A421" s="71">
        <v>42735</v>
      </c>
      <c r="B421" s="318">
        <v>116.1</v>
      </c>
      <c r="C421" s="318">
        <v>109.8</v>
      </c>
      <c r="D421" s="319">
        <v>101.8</v>
      </c>
      <c r="E421" s="81">
        <v>94</v>
      </c>
      <c r="F421" s="318">
        <v>89</v>
      </c>
      <c r="G421" s="319">
        <v>82.7</v>
      </c>
      <c r="H421" s="318">
        <v>120.1</v>
      </c>
      <c r="I421" s="318">
        <v>113.5</v>
      </c>
      <c r="J421" s="319">
        <v>105.2</v>
      </c>
      <c r="K421" s="318">
        <v>106.7</v>
      </c>
      <c r="L421" s="81">
        <v>101</v>
      </c>
      <c r="M421" s="82">
        <v>93.8</v>
      </c>
    </row>
  </sheetData>
  <mergeCells count="3">
    <mergeCell ref="P36:S36"/>
    <mergeCell ref="P37:S37"/>
    <mergeCell ref="Q38:S38"/>
  </mergeCells>
  <pageMargins left="0.74803149606299213" right="0.74803149606299213" top="0.98425196850393704" bottom="0.98425196850393704" header="0.51181102362204722" footer="0.51181102362204722"/>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heetViews>
  <sheetFormatPr defaultRowHeight="15"/>
  <cols>
    <col min="1" max="1" width="73" style="428" bestFit="1" customWidth="1"/>
    <col min="2" max="2" width="19.28515625" style="428" customWidth="1"/>
    <col min="3" max="4" width="13.85546875" style="428" bestFit="1" customWidth="1"/>
    <col min="5" max="5" width="13" style="428" customWidth="1"/>
    <col min="6" max="14" width="9.140625" style="428"/>
    <col min="15" max="15" width="10" style="428" bestFit="1" customWidth="1"/>
    <col min="16" max="16384" width="9.140625" style="428"/>
  </cols>
  <sheetData>
    <row r="1" spans="1:14">
      <c r="A1" s="428" t="s">
        <v>102</v>
      </c>
      <c r="C1" s="244"/>
    </row>
    <row r="2" spans="1:14">
      <c r="C2" s="244"/>
    </row>
    <row r="3" spans="1:14">
      <c r="C3" s="244"/>
    </row>
    <row r="4" spans="1:14">
      <c r="A4" s="179"/>
      <c r="C4" s="244"/>
    </row>
    <row r="5" spans="1:14">
      <c r="C5" s="244"/>
    </row>
    <row r="6" spans="1:14" ht="15.75" thickBot="1">
      <c r="A6" s="15" t="s">
        <v>612</v>
      </c>
      <c r="B6" s="15"/>
      <c r="C6" s="244"/>
      <c r="K6" s="469"/>
    </row>
    <row r="7" spans="1:14">
      <c r="A7" s="280" t="s">
        <v>276</v>
      </c>
      <c r="B7" s="281" t="s">
        <v>277</v>
      </c>
      <c r="C7" s="244"/>
      <c r="K7" s="535"/>
    </row>
    <row r="8" spans="1:14">
      <c r="A8" s="145" t="s">
        <v>263</v>
      </c>
      <c r="B8" s="282">
        <v>92061</v>
      </c>
      <c r="C8" s="244"/>
      <c r="K8" s="535"/>
      <c r="M8" s="433"/>
      <c r="N8" s="433"/>
    </row>
    <row r="9" spans="1:14">
      <c r="A9" s="290" t="s">
        <v>320</v>
      </c>
      <c r="B9" s="344">
        <v>175570</v>
      </c>
      <c r="C9" s="244"/>
      <c r="K9" s="469"/>
    </row>
    <row r="10" spans="1:14">
      <c r="A10" s="145" t="s">
        <v>278</v>
      </c>
      <c r="B10" s="282">
        <v>74934</v>
      </c>
      <c r="C10" s="244"/>
      <c r="J10" s="433"/>
      <c r="K10" s="469"/>
    </row>
    <row r="11" spans="1:14">
      <c r="A11" s="290" t="s">
        <v>279</v>
      </c>
      <c r="B11" s="291">
        <v>17127</v>
      </c>
      <c r="C11" s="244"/>
    </row>
    <row r="12" spans="1:14">
      <c r="A12" s="283" t="s">
        <v>565</v>
      </c>
      <c r="B12" s="284" t="s">
        <v>277</v>
      </c>
      <c r="C12" s="244"/>
    </row>
    <row r="13" spans="1:14">
      <c r="A13" s="145" t="s">
        <v>109</v>
      </c>
      <c r="B13" s="282">
        <v>53931</v>
      </c>
      <c r="C13" s="576"/>
    </row>
    <row r="14" spans="1:14">
      <c r="A14" s="290" t="s">
        <v>232</v>
      </c>
      <c r="B14" s="291">
        <f>B11</f>
        <v>17127</v>
      </c>
      <c r="C14" s="244"/>
    </row>
    <row r="15" spans="1:14">
      <c r="A15" s="145" t="s">
        <v>15</v>
      </c>
      <c r="B15" s="282">
        <v>10570</v>
      </c>
      <c r="C15" s="576"/>
      <c r="K15" s="433"/>
      <c r="L15" s="433"/>
      <c r="M15" s="433"/>
      <c r="N15" s="433"/>
    </row>
    <row r="16" spans="1:14">
      <c r="A16" s="290" t="s">
        <v>12</v>
      </c>
      <c r="B16" s="291">
        <v>4587</v>
      </c>
      <c r="C16" s="576"/>
    </row>
    <row r="17" spans="1:11">
      <c r="A17" s="145" t="s">
        <v>17</v>
      </c>
      <c r="B17" s="282">
        <v>2126</v>
      </c>
      <c r="C17" s="576"/>
      <c r="K17" s="433"/>
    </row>
    <row r="18" spans="1:11">
      <c r="A18" s="283" t="s">
        <v>566</v>
      </c>
      <c r="B18" s="284" t="s">
        <v>280</v>
      </c>
      <c r="C18" s="244"/>
    </row>
    <row r="19" spans="1:11">
      <c r="A19" s="290" t="s">
        <v>263</v>
      </c>
      <c r="B19" s="292">
        <v>77.1817116</v>
      </c>
      <c r="C19" s="576"/>
      <c r="D19" s="433"/>
      <c r="E19" s="433"/>
    </row>
    <row r="20" spans="1:11">
      <c r="A20" s="145" t="s">
        <v>281</v>
      </c>
      <c r="B20" s="285">
        <v>106.866</v>
      </c>
      <c r="C20" s="576"/>
      <c r="E20" s="433"/>
    </row>
    <row r="21" spans="1:11">
      <c r="A21" s="290" t="s">
        <v>282</v>
      </c>
      <c r="B21" s="414">
        <f>B19/B20</f>
        <v>0.72222888102857785</v>
      </c>
      <c r="C21" s="244"/>
    </row>
    <row r="22" spans="1:11">
      <c r="A22" s="283" t="s">
        <v>567</v>
      </c>
      <c r="B22" s="284" t="s">
        <v>283</v>
      </c>
      <c r="C22" s="244"/>
    </row>
    <row r="23" spans="1:11">
      <c r="A23" s="287" t="s">
        <v>263</v>
      </c>
      <c r="B23" s="288">
        <v>43701</v>
      </c>
      <c r="C23" s="244"/>
      <c r="D23" s="415"/>
    </row>
    <row r="24" spans="1:11">
      <c r="A24" s="294" t="s">
        <v>284</v>
      </c>
      <c r="B24" s="295">
        <v>84227.180820023088</v>
      </c>
      <c r="C24" s="244"/>
    </row>
    <row r="25" spans="1:11">
      <c r="A25" s="145" t="s">
        <v>282</v>
      </c>
      <c r="B25" s="286">
        <f>B23/B24</f>
        <v>0.51884676151491327</v>
      </c>
      <c r="C25" s="244"/>
    </row>
    <row r="26" spans="1:11">
      <c r="A26" s="283" t="s">
        <v>568</v>
      </c>
      <c r="B26" s="284" t="s">
        <v>277</v>
      </c>
      <c r="C26" s="244"/>
    </row>
    <row r="27" spans="1:11">
      <c r="A27" s="290" t="s">
        <v>263</v>
      </c>
      <c r="B27" s="416">
        <f>Exports!B29/1000000</f>
        <v>105893.43399999999</v>
      </c>
      <c r="C27" s="244"/>
    </row>
    <row r="28" spans="1:11">
      <c r="A28" s="145" t="s">
        <v>281</v>
      </c>
      <c r="B28" s="282">
        <f>Exports!G73</f>
        <v>255200</v>
      </c>
      <c r="C28" s="244"/>
    </row>
    <row r="29" spans="1:11">
      <c r="A29" s="290" t="s">
        <v>285</v>
      </c>
      <c r="B29" s="293">
        <f>B27/B28</f>
        <v>0.41494292319749215</v>
      </c>
      <c r="C29" s="244"/>
    </row>
    <row r="30" spans="1:11">
      <c r="A30" s="289" t="s">
        <v>286</v>
      </c>
      <c r="B30" s="286">
        <f>(Exports!C29/Exports!B29)</f>
        <v>0.89999441323377993</v>
      </c>
      <c r="C30" s="244"/>
    </row>
    <row r="31" spans="1:11">
      <c r="A31" s="283" t="s">
        <v>569</v>
      </c>
      <c r="B31" s="284" t="s">
        <v>277</v>
      </c>
      <c r="C31" s="244"/>
    </row>
    <row r="32" spans="1:11">
      <c r="A32" s="290" t="s">
        <v>263</v>
      </c>
      <c r="B32" s="291">
        <f>Exports!C29/1000000</f>
        <v>95303.498998139999</v>
      </c>
      <c r="C32" s="244"/>
    </row>
    <row r="33" spans="1:4">
      <c r="A33" s="145" t="s">
        <v>321</v>
      </c>
      <c r="B33" s="282">
        <v>171179.87</v>
      </c>
      <c r="C33" s="244"/>
      <c r="D33" s="298"/>
    </row>
    <row r="34" spans="1:4">
      <c r="A34" s="290" t="s">
        <v>285</v>
      </c>
      <c r="B34" s="293">
        <f>SUM(B32/B33)</f>
        <v>0.55674477961772029</v>
      </c>
      <c r="C34" s="244"/>
    </row>
    <row r="35" spans="1:4">
      <c r="A35" s="283" t="s">
        <v>571</v>
      </c>
      <c r="B35" s="284" t="s">
        <v>277</v>
      </c>
      <c r="C35" s="244"/>
    </row>
    <row r="36" spans="1:4">
      <c r="A36" s="290" t="s">
        <v>263</v>
      </c>
      <c r="B36" s="291">
        <f>SUM('Mineral Exploration'!G119:G122)</f>
        <v>927.59999999999991</v>
      </c>
      <c r="C36" s="577"/>
    </row>
    <row r="37" spans="1:4">
      <c r="A37" s="145" t="s">
        <v>284</v>
      </c>
      <c r="B37" s="282">
        <f>SUM('Mineral Exploration'!J117:J120)</f>
        <v>1421.1</v>
      </c>
      <c r="C37" s="577"/>
    </row>
    <row r="38" spans="1:4">
      <c r="A38" s="290" t="s">
        <v>285</v>
      </c>
      <c r="B38" s="293">
        <f>B36/B37</f>
        <v>0.65273379776229679</v>
      </c>
      <c r="C38" s="577"/>
    </row>
    <row r="39" spans="1:4">
      <c r="A39" s="283" t="s">
        <v>572</v>
      </c>
      <c r="B39" s="284" t="s">
        <v>277</v>
      </c>
      <c r="C39" s="244"/>
    </row>
    <row r="40" spans="1:4">
      <c r="A40" s="145" t="s">
        <v>263</v>
      </c>
      <c r="B40" s="282">
        <f>SUM('Petroleum Exploration'!G95:G98)</f>
        <v>995.99999999999989</v>
      </c>
      <c r="C40" s="577"/>
    </row>
    <row r="41" spans="1:4">
      <c r="A41" s="290" t="s">
        <v>284</v>
      </c>
      <c r="B41" s="291">
        <f>SUM('Petroleum Exploration'!J95:J98)</f>
        <v>1401.7</v>
      </c>
      <c r="C41" s="577"/>
    </row>
    <row r="42" spans="1:4">
      <c r="A42" s="145" t="s">
        <v>285</v>
      </c>
      <c r="B42" s="286">
        <f>B40/B41</f>
        <v>0.71056574159948627</v>
      </c>
      <c r="C42" s="577"/>
    </row>
    <row r="43" spans="1:4">
      <c r="A43" s="283" t="s">
        <v>570</v>
      </c>
      <c r="B43" s="284" t="s">
        <v>277</v>
      </c>
      <c r="C43" s="244"/>
    </row>
    <row r="44" spans="1:4">
      <c r="A44" s="290" t="s">
        <v>263</v>
      </c>
      <c r="B44" s="291">
        <f>SUM('New Capital Expenditure'!C69:C72)</f>
        <v>33760</v>
      </c>
      <c r="C44" s="577"/>
    </row>
    <row r="45" spans="1:4">
      <c r="A45" s="145" t="s">
        <v>284</v>
      </c>
      <c r="B45" s="282">
        <f>SUM('New Capital Expenditure'!F69:F72)</f>
        <v>117451</v>
      </c>
      <c r="C45" s="577"/>
    </row>
    <row r="46" spans="1:4">
      <c r="A46" s="290" t="s">
        <v>285</v>
      </c>
      <c r="B46" s="293">
        <f>B44/B45</f>
        <v>0.28743901712203385</v>
      </c>
      <c r="C46" s="577"/>
    </row>
    <row r="47" spans="1:4">
      <c r="A47" s="480" t="s">
        <v>573</v>
      </c>
      <c r="B47" s="481"/>
      <c r="C47" s="244"/>
    </row>
    <row r="48" spans="1:4">
      <c r="A48" s="145" t="s">
        <v>263</v>
      </c>
      <c r="B48" s="282">
        <f>SUM('Mining Investment'!C114:C117)</f>
        <v>26865</v>
      </c>
      <c r="C48" s="577"/>
    </row>
    <row r="49" spans="1:8">
      <c r="A49" s="290" t="s">
        <v>284</v>
      </c>
      <c r="B49" s="291">
        <f>SUM('Mining Investment'!F114:F117)</f>
        <v>42621</v>
      </c>
      <c r="C49" s="577"/>
    </row>
    <row r="50" spans="1:8">
      <c r="A50" s="145" t="s">
        <v>285</v>
      </c>
      <c r="B50" s="286">
        <f>B48/B49</f>
        <v>0.63032308017174632</v>
      </c>
      <c r="C50" s="577"/>
    </row>
    <row r="51" spans="1:8">
      <c r="A51" s="283" t="s">
        <v>574</v>
      </c>
      <c r="B51" s="284" t="s">
        <v>277</v>
      </c>
      <c r="C51" s="244"/>
    </row>
    <row r="52" spans="1:8">
      <c r="A52" s="290" t="s">
        <v>614</v>
      </c>
      <c r="B52" s="291">
        <v>1658740</v>
      </c>
      <c r="C52" s="244"/>
    </row>
    <row r="53" spans="1:8">
      <c r="A53" s="145" t="s">
        <v>613</v>
      </c>
      <c r="B53" s="282">
        <v>255214</v>
      </c>
      <c r="C53" s="244"/>
      <c r="H53" s="417"/>
    </row>
    <row r="54" spans="1:8" ht="15.75" thickBot="1">
      <c r="A54" s="296" t="s">
        <v>287</v>
      </c>
      <c r="B54" s="297">
        <v>0.28144000000000002</v>
      </c>
      <c r="C54" s="627"/>
      <c r="H54" s="417"/>
    </row>
    <row r="55" spans="1:8">
      <c r="C55" s="244"/>
      <c r="H55" s="417"/>
    </row>
    <row r="56" spans="1:8">
      <c r="A56" s="635" t="s">
        <v>288</v>
      </c>
      <c r="B56" s="635"/>
      <c r="C56" s="244"/>
      <c r="H56" s="417"/>
    </row>
    <row r="57" spans="1:8">
      <c r="A57" s="244" t="s">
        <v>642</v>
      </c>
    </row>
  </sheetData>
  <mergeCells count="2">
    <mergeCell ref="A6:B6"/>
    <mergeCell ref="A56:B5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3"/>
  <sheetViews>
    <sheetView zoomScaleNormal="100" workbookViewId="0"/>
  </sheetViews>
  <sheetFormatPr defaultRowHeight="15"/>
  <cols>
    <col min="1" max="1" width="9.140625" style="428"/>
    <col min="2" max="2" width="28.28515625" style="428" bestFit="1" customWidth="1"/>
    <col min="3" max="3" width="29.140625" style="428" bestFit="1" customWidth="1"/>
    <col min="4" max="4" width="19" style="428" bestFit="1" customWidth="1"/>
    <col min="5" max="5" width="9.140625" style="428"/>
    <col min="6" max="6" width="26.85546875" style="428" bestFit="1" customWidth="1"/>
    <col min="7" max="7" width="23.5703125" style="428" bestFit="1" customWidth="1"/>
    <col min="8" max="8" width="27.7109375" style="428" customWidth="1"/>
    <col min="9" max="9" width="19.5703125" style="428" bestFit="1" customWidth="1"/>
    <col min="10" max="10" width="20" style="428" bestFit="1" customWidth="1"/>
    <col min="11" max="11" width="44.85546875" style="428" bestFit="1" customWidth="1"/>
    <col min="12" max="12" width="19" style="428" bestFit="1" customWidth="1"/>
    <col min="13" max="16384" width="9.140625" style="428"/>
  </cols>
  <sheetData>
    <row r="1" spans="8:16">
      <c r="N1" s="363" t="str">
        <f>"Western Australian Merchandise Exports "&amp;'Comparison 2015 and 2016'!K2</f>
        <v>Western Australian Merchandise Exports 2016</v>
      </c>
      <c r="O1" s="363" t="str">
        <f>"Total: $"&amp;LEFT((B29/1000000000),6)&amp;" billion"</f>
        <v>Total: $105.89 billion</v>
      </c>
      <c r="P1" s="363"/>
    </row>
    <row r="2" spans="8:16">
      <c r="N2" s="363" t="str">
        <f>"Western Australian"&amp;CHAR(10)&amp;"Mineral and petroleum exports "&amp;'Comparison 2015 and 2016'!K2</f>
        <v>Western Australian
Mineral and petroleum exports 2016</v>
      </c>
      <c r="O2" s="363" t="str">
        <f>"Total: $"&amp;LEFT((C29/1000000000),5)&amp;" billion"</f>
        <v>Total: $95.30 billion</v>
      </c>
      <c r="P2" s="363"/>
    </row>
    <row r="3" spans="8:16">
      <c r="N3" s="363" t="str">
        <f>"Western Australian merchandise exports "&amp;CHAR(10)&amp;"by country "&amp;'Comparison 2015 and 2016'!K2</f>
        <v>Western Australian merchandise exports 
by country 2016</v>
      </c>
      <c r="O3" s="363" t="str">
        <f>"Total: $"&amp;LEFT((B29/1000000000),6)&amp;" billion"</f>
        <v>Total: $105.89 billion</v>
      </c>
      <c r="P3" s="363"/>
    </row>
    <row r="4" spans="8:16">
      <c r="H4" s="137"/>
      <c r="I4" s="137"/>
      <c r="J4" s="137"/>
      <c r="K4" s="137"/>
      <c r="N4" s="363" t="str">
        <f>"Australian merchandise exports "&amp;'Comparison 2015 and 2016'!K2</f>
        <v>Australian merchandise exports 2016</v>
      </c>
      <c r="O4" s="363" t="str">
        <f>"Total: $"&amp;LEFT((G73/1000),6)&amp;" billion"</f>
        <v>Total: $255.2 billion</v>
      </c>
      <c r="P4" s="363"/>
    </row>
    <row r="5" spans="8:16">
      <c r="N5" s="363"/>
      <c r="O5" s="363"/>
      <c r="P5" s="363"/>
    </row>
    <row r="6" spans="8:16">
      <c r="J6" s="238"/>
      <c r="K6" s="241"/>
      <c r="N6" s="363"/>
      <c r="O6" s="363"/>
      <c r="P6" s="363"/>
    </row>
    <row r="7" spans="8:16">
      <c r="J7" s="246"/>
      <c r="K7" s="241"/>
      <c r="N7" s="363"/>
      <c r="O7" s="363"/>
      <c r="P7" s="363"/>
    </row>
    <row r="26" spans="2:11">
      <c r="K26" s="469"/>
    </row>
    <row r="27" spans="2:11" ht="15.75" thickBot="1">
      <c r="K27" s="470"/>
    </row>
    <row r="28" spans="2:11" ht="30.75" customHeight="1">
      <c r="B28" s="251" t="s">
        <v>576</v>
      </c>
      <c r="C28" s="252" t="s">
        <v>618</v>
      </c>
      <c r="D28" s="253" t="s">
        <v>249</v>
      </c>
      <c r="F28" s="134" t="s">
        <v>177</v>
      </c>
      <c r="G28" s="254" t="s">
        <v>250</v>
      </c>
      <c r="H28" s="255" t="s">
        <v>575</v>
      </c>
      <c r="K28" s="470"/>
    </row>
    <row r="29" spans="2:11" ht="15.75" thickBot="1">
      <c r="B29" s="519">
        <v>105893434000</v>
      </c>
      <c r="C29" s="517">
        <f>SUM(G29:G36)</f>
        <v>95303498998.139999</v>
      </c>
      <c r="D29" s="518">
        <f>B29-C29</f>
        <v>10589935001.860001</v>
      </c>
      <c r="F29" s="274" t="s">
        <v>12</v>
      </c>
      <c r="G29" s="573">
        <v>4487354818.96</v>
      </c>
      <c r="H29" s="265">
        <f t="shared" ref="H29:H36" si="0">G29/SUM(G$29:G$36)</f>
        <v>4.7084890545808583E-2</v>
      </c>
      <c r="K29" s="470"/>
    </row>
    <row r="30" spans="2:11">
      <c r="F30" s="274" t="s">
        <v>179</v>
      </c>
      <c r="G30" s="574">
        <v>1628967103.8</v>
      </c>
      <c r="H30" s="358">
        <f t="shared" si="0"/>
        <v>1.7092416552636665E-2</v>
      </c>
      <c r="K30" s="470"/>
    </row>
    <row r="31" spans="2:11">
      <c r="C31" s="375"/>
      <c r="F31" s="274" t="s">
        <v>17</v>
      </c>
      <c r="G31" s="573">
        <v>1532944502.77</v>
      </c>
      <c r="H31" s="265">
        <f t="shared" si="0"/>
        <v>1.6084871163019081E-2</v>
      </c>
      <c r="K31" s="626"/>
    </row>
    <row r="32" spans="2:11">
      <c r="C32" s="522"/>
      <c r="F32" s="274" t="s">
        <v>15</v>
      </c>
      <c r="G32" s="574">
        <v>17751200000</v>
      </c>
      <c r="H32" s="358">
        <f t="shared" si="0"/>
        <v>0.18625968811854896</v>
      </c>
      <c r="K32" s="470"/>
    </row>
    <row r="33" spans="2:11">
      <c r="B33" s="489"/>
      <c r="C33" s="375"/>
      <c r="F33" s="274" t="s">
        <v>349</v>
      </c>
      <c r="G33" s="573">
        <v>738964749.97000003</v>
      </c>
      <c r="H33" s="265">
        <f t="shared" si="0"/>
        <v>7.7538050306465885E-3</v>
      </c>
      <c r="K33" s="470"/>
    </row>
    <row r="34" spans="2:11">
      <c r="B34" s="467"/>
      <c r="F34" s="274" t="s">
        <v>180</v>
      </c>
      <c r="G34" s="574">
        <v>53882142375</v>
      </c>
      <c r="H34" s="358">
        <f t="shared" si="0"/>
        <v>0.56537423013242771</v>
      </c>
      <c r="K34" s="469"/>
    </row>
    <row r="35" spans="2:11">
      <c r="F35" s="274" t="s">
        <v>232</v>
      </c>
      <c r="G35" s="573">
        <v>14252654720.129999</v>
      </c>
      <c r="H35" s="265">
        <f t="shared" si="0"/>
        <v>0.14955017255356137</v>
      </c>
      <c r="I35" s="37"/>
      <c r="J35" s="427"/>
      <c r="K35" s="469"/>
    </row>
    <row r="36" spans="2:11" ht="15.75" thickBot="1">
      <c r="F36" s="275" t="s">
        <v>640</v>
      </c>
      <c r="G36" s="575">
        <v>1029270727.51</v>
      </c>
      <c r="H36" s="359">
        <f t="shared" si="0"/>
        <v>1.0799925903351017E-2</v>
      </c>
      <c r="J36" s="427"/>
      <c r="K36" s="469"/>
    </row>
    <row r="37" spans="2:11">
      <c r="F37" s="637" t="s">
        <v>641</v>
      </c>
      <c r="G37" s="637"/>
      <c r="H37" s="637"/>
      <c r="K37" s="469"/>
    </row>
    <row r="60" spans="2:10" ht="15.75" thickBot="1"/>
    <row r="61" spans="2:10">
      <c r="B61" s="320" t="s">
        <v>318</v>
      </c>
      <c r="C61" s="258" t="s">
        <v>578</v>
      </c>
      <c r="D61" s="259" t="s">
        <v>577</v>
      </c>
      <c r="F61" s="267" t="s">
        <v>269</v>
      </c>
      <c r="G61" s="268" t="s">
        <v>578</v>
      </c>
      <c r="H61" s="269" t="s">
        <v>577</v>
      </c>
    </row>
    <row r="62" spans="2:10">
      <c r="B62" s="260" t="s">
        <v>251</v>
      </c>
      <c r="C62" s="256">
        <v>51251.392999999996</v>
      </c>
      <c r="D62" s="265">
        <f t="shared" ref="D62:D72" si="1">C62/C$73</f>
        <v>0.48399030043695818</v>
      </c>
      <c r="F62" s="270" t="s">
        <v>263</v>
      </c>
      <c r="G62" s="272">
        <v>105893</v>
      </c>
      <c r="H62" s="477">
        <f>G62/G$73</f>
        <v>0.4149412225705329</v>
      </c>
      <c r="I62" s="521"/>
      <c r="J62" s="520"/>
    </row>
    <row r="63" spans="2:10">
      <c r="B63" s="260" t="s">
        <v>252</v>
      </c>
      <c r="C63" s="264">
        <v>13831.75</v>
      </c>
      <c r="D63" s="266">
        <f t="shared" si="1"/>
        <v>0.13061952946467029</v>
      </c>
      <c r="F63" s="270" t="s">
        <v>261</v>
      </c>
      <c r="G63" s="273">
        <v>52708</v>
      </c>
      <c r="H63" s="478">
        <f t="shared" ref="H63:H69" si="2">G63/G$73</f>
        <v>0.20653605015673981</v>
      </c>
      <c r="I63" s="521"/>
      <c r="J63" s="520"/>
    </row>
    <row r="64" spans="2:10">
      <c r="B64" s="260" t="s">
        <v>427</v>
      </c>
      <c r="C64" s="256">
        <v>7485.2820000000002</v>
      </c>
      <c r="D64" s="265">
        <f t="shared" si="1"/>
        <v>7.0686934968486714E-2</v>
      </c>
      <c r="F64" s="270" t="s">
        <v>259</v>
      </c>
      <c r="G64" s="272">
        <v>38373</v>
      </c>
      <c r="H64" s="477">
        <f t="shared" si="2"/>
        <v>0.15036442006269593</v>
      </c>
      <c r="I64" s="521"/>
      <c r="J64" s="520"/>
    </row>
    <row r="65" spans="2:10">
      <c r="B65" s="260" t="s">
        <v>615</v>
      </c>
      <c r="C65" s="264">
        <v>6681.2240000000002</v>
      </c>
      <c r="D65" s="266">
        <f t="shared" si="1"/>
        <v>6.3093848220800858E-2</v>
      </c>
      <c r="F65" s="270" t="s">
        <v>260</v>
      </c>
      <c r="G65" s="273">
        <v>23293</v>
      </c>
      <c r="H65" s="478">
        <f t="shared" si="2"/>
        <v>9.1273510971786834E-2</v>
      </c>
      <c r="I65" s="521"/>
      <c r="J65" s="520"/>
    </row>
    <row r="66" spans="2:10">
      <c r="B66" s="260" t="s">
        <v>253</v>
      </c>
      <c r="C66" s="256">
        <v>6041.1329999999998</v>
      </c>
      <c r="D66" s="265">
        <f t="shared" si="1"/>
        <v>5.7049176705297015E-2</v>
      </c>
      <c r="F66" s="270" t="s">
        <v>262</v>
      </c>
      <c r="G66" s="272">
        <v>10641</v>
      </c>
      <c r="H66" s="477">
        <f t="shared" si="2"/>
        <v>4.1696708463949843E-2</v>
      </c>
      <c r="I66" s="521"/>
      <c r="J66" s="520"/>
    </row>
    <row r="67" spans="2:10">
      <c r="B67" s="260" t="s">
        <v>254</v>
      </c>
      <c r="C67" s="264">
        <v>2277.0039999999999</v>
      </c>
      <c r="D67" s="266">
        <f t="shared" si="1"/>
        <v>2.1502788227749352E-2</v>
      </c>
      <c r="F67" s="270" t="s">
        <v>265</v>
      </c>
      <c r="G67" s="273">
        <v>4351</v>
      </c>
      <c r="H67" s="478">
        <f t="shared" si="2"/>
        <v>1.7049373040752352E-2</v>
      </c>
      <c r="I67" s="521"/>
      <c r="J67" s="520"/>
    </row>
    <row r="68" spans="2:10">
      <c r="B68" s="260" t="s">
        <v>256</v>
      </c>
      <c r="C68" s="256">
        <v>2104.5279999999998</v>
      </c>
      <c r="D68" s="265">
        <f t="shared" si="1"/>
        <v>1.9874018624196042E-2</v>
      </c>
      <c r="F68" s="270" t="s">
        <v>264</v>
      </c>
      <c r="G68" s="272">
        <v>2649</v>
      </c>
      <c r="H68" s="477">
        <f t="shared" si="2"/>
        <v>1.0380094043887147E-2</v>
      </c>
      <c r="I68" s="521"/>
      <c r="J68" s="520"/>
    </row>
    <row r="69" spans="2:10">
      <c r="B69" s="260" t="s">
        <v>257</v>
      </c>
      <c r="C69" s="264">
        <v>1583.586</v>
      </c>
      <c r="D69" s="266">
        <f t="shared" si="1"/>
        <v>1.4954525507389837E-2</v>
      </c>
      <c r="F69" s="270" t="s">
        <v>266</v>
      </c>
      <c r="G69" s="273">
        <v>29</v>
      </c>
      <c r="H69" s="478">
        <f t="shared" si="2"/>
        <v>1.1363636363636364E-4</v>
      </c>
      <c r="I69" s="521"/>
      <c r="J69" s="520"/>
    </row>
    <row r="70" spans="2:10">
      <c r="B70" s="260" t="s">
        <v>616</v>
      </c>
      <c r="C70" s="256">
        <v>1334.0429999999999</v>
      </c>
      <c r="D70" s="265">
        <f t="shared" si="1"/>
        <v>1.259797704163516E-2</v>
      </c>
      <c r="F70" s="270" t="s">
        <v>267</v>
      </c>
      <c r="G70" s="276">
        <v>6104</v>
      </c>
      <c r="H70" s="636">
        <f>G72/G$73</f>
        <v>6.761755485893417E-2</v>
      </c>
      <c r="I70" s="521"/>
      <c r="J70" s="520"/>
    </row>
    <row r="71" spans="2:10">
      <c r="B71" s="260" t="s">
        <v>255</v>
      </c>
      <c r="C71" s="264">
        <v>1317.9829999999999</v>
      </c>
      <c r="D71" s="266">
        <f t="shared" si="1"/>
        <v>1.2446315130221016E-2</v>
      </c>
      <c r="F71" s="270" t="s">
        <v>258</v>
      </c>
      <c r="G71" s="276">
        <v>11152</v>
      </c>
      <c r="H71" s="636"/>
      <c r="I71" s="521"/>
      <c r="J71" s="520"/>
    </row>
    <row r="72" spans="2:10">
      <c r="B72" s="260" t="s">
        <v>103</v>
      </c>
      <c r="C72" s="257">
        <v>11985.508</v>
      </c>
      <c r="D72" s="265">
        <f t="shared" si="1"/>
        <v>0.11318462344642156</v>
      </c>
      <c r="F72" s="270" t="s">
        <v>268</v>
      </c>
      <c r="G72" s="277">
        <f>SUM(G70:G71)</f>
        <v>17256</v>
      </c>
      <c r="H72" s="636"/>
      <c r="I72" s="521"/>
      <c r="J72" s="520"/>
    </row>
    <row r="73" spans="2:10" ht="15.75" thickBot="1">
      <c r="B73" s="261" t="s">
        <v>183</v>
      </c>
      <c r="C73" s="262">
        <v>105893.43</v>
      </c>
      <c r="D73" s="263"/>
      <c r="F73" s="271" t="s">
        <v>617</v>
      </c>
      <c r="G73" s="278">
        <v>255200</v>
      </c>
      <c r="H73" s="279"/>
    </row>
  </sheetData>
  <sortState ref="I62:J69">
    <sortCondition descending="1" ref="J62:J69"/>
  </sortState>
  <mergeCells count="2">
    <mergeCell ref="H70:H72"/>
    <mergeCell ref="F37:H37"/>
  </mergeCells>
  <pageMargins left="0.7" right="0.7" top="0.75" bottom="0.75" header="0.3" footer="0.3"/>
  <pageSetup paperSize="9" orientation="portrait" r:id="rId1"/>
  <ignoredErrors>
    <ignoredError sqref="G72"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urDocsVersionReason xmlns="dce3ed02-b0cd-470d-9119-e5f1a2533a21" xsi:nil="true"/>
    <OurDocsVersionCreatedAt xmlns="dce3ed02-b0cd-470d-9119-e5f1a2533a21">2017-01-04T01:06:44+00:00</OurDocsVersionCreatedAt>
    <OurDocsDocId xmlns="dce3ed02-b0cd-470d-9119-e5f1a2533a21">000090.Matt.WEBER</OurDocsDocId>
    <OurDocsDocumentSource xmlns="dce3ed02-b0cd-470d-9119-e5f1a2533a21">Internal</OurDocsDocumentSource>
    <OurDocsFileNumbers xmlns="dce3ed02-b0cd-470d-9119-e5f1a2533a21" xsi:nil="true"/>
    <OurDocsLocation xmlns="dce3ed02-b0cd-470d-9119-e5f1a2533a21">Perth</OurDocsLocation>
    <OurDocsDataStore xmlns="dce3ed02-b0cd-470d-9119-e5f1a2533a21">Central</OurDocsDataStore>
    <OurDocsReleaseClassification xmlns="dce3ed02-b0cd-470d-9119-e5f1a2533a21">Departmental Use Only</OurDocsReleaseClassification>
    <OurDocsTitle xmlns="dce3ed02-b0cd-470d-9119-e5f1a2533a21">2016 Economic indicators resources data</OurDocsTitle>
    <OurDocsLockedOnBehalfOf xmlns="dce3ed02-b0cd-470d-9119-e5f1a2533a21" xsi:nil="true"/>
    <OurDocsVersionNumber xmlns="dce3ed02-b0cd-470d-9119-e5f1a2533a21">1</OurDocsVersionNumber>
    <OurDocsAuthor xmlns="dce3ed02-b0cd-470d-9119-e5f1a2533a21">Matt.WEBER</OurDocsAuthor>
    <OurDocsDescription xmlns="dce3ed02-b0cd-470d-9119-e5f1a2533a21">Contains: Economic summaries, exploration and investment data, royalty receipts and employment data</OurDocsDescription>
    <OurDocsVersionCreatedBy xmlns="dce3ed02-b0cd-470d-9119-e5f1a2533a21">MIMWEBE</OurDocsVersionCreatedBy>
    <OurDocsIsLocked xmlns="dce3ed02-b0cd-470d-9119-e5f1a2533a21">false</OurDocsIsLocked>
    <OurDocsDocumentType xmlns="dce3ed02-b0cd-470d-9119-e5f1a2533a21">Other</OurDocsDocumentType>
    <OurDocsIsRecordsDocument xmlns="dce3ed02-b0cd-470d-9119-e5f1a2533a21">false</OurDocsIsRecordsDocument>
    <OurDocsDocumentDate xmlns="dce3ed02-b0cd-470d-9119-e5f1a2533a21">2017-01-03T16:00:00+00:00</OurDocsDocumentDate>
    <OurDocsLockedBy xmlns="dce3ed02-b0cd-470d-9119-e5f1a2533a21" xsi:nil="true"/>
    <OurDocsLockedOn xmlns="dce3ed02-b0cd-470d-9119-e5f1a2533a21" xsi:nil="true"/>
  </documentManagement>
</p:properties>
</file>

<file path=customXml/item2.xml><?xml version="1.0" encoding="utf-8"?>
<?mso-contentType ?>
<SharedContentType xmlns="Microsoft.SharePoint.Taxonomy.ContentTypeSync" SourceId="47aadd75-fb41-49d7-866d-414b51aa1b7e" ContentTypeId="0x0101000AC6246A9CD2FC45B52DC6FEC0F0AAAA"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urDocs Document" ma:contentTypeID="0x0101000AC6246A9CD2FC45B52DC6FEC0F0AAAA00920188900BA07345AAF278D2118AC292" ma:contentTypeVersion="32" ma:contentTypeDescription="Create a new document." ma:contentTypeScope="" ma:versionID="1a42627b1d015acfe7cddc822b88e136">
  <xsd:schema xmlns:xsd="http://www.w3.org/2001/XMLSchema" xmlns:xs="http://www.w3.org/2001/XMLSchema" xmlns:p="http://schemas.microsoft.com/office/2006/metadata/properties" xmlns:ns2="dce3ed02-b0cd-470d-9119-e5f1a2533a21" targetNamespace="http://schemas.microsoft.com/office/2006/metadata/properties" ma:root="true" ma:fieldsID="1a6798604cab60e796b5e4eb7c60d6f5" ns2:_="">
    <xsd:import namespace="dce3ed02-b0cd-470d-9119-e5f1a2533a21"/>
    <xsd:element name="properties">
      <xsd:complexType>
        <xsd:sequence>
          <xsd:element name="documentManagement">
            <xsd:complexType>
              <xsd:all>
                <xsd:element ref="ns2:OurDocsDataStore"/>
                <xsd:element ref="ns2:OurDocsDocId"/>
                <xsd:element ref="ns2:OurDocsVersionNumber"/>
                <xsd:element ref="ns2:OurDocsIsRecordsDocument" minOccurs="0"/>
                <xsd:element ref="ns2:OurDocsIsLocked" minOccurs="0"/>
                <xsd:element ref="ns2:OurDocsTitle" minOccurs="0"/>
                <xsd:element ref="ns2:OurDocsDescription" minOccurs="0"/>
                <xsd:element ref="ns2:OurDocsAuthor" minOccurs="0"/>
                <xsd:element ref="ns2:OurDocsLocation" minOccurs="0"/>
                <xsd:element ref="ns2:OurDocsReleaseClassification" minOccurs="0"/>
                <xsd:element ref="ns2:OurDocsDocumentType" minOccurs="0"/>
                <xsd:element ref="ns2:OurDocsDocumentDate" minOccurs="0"/>
                <xsd:element ref="ns2:OurDocsDocumentSource" minOccurs="0"/>
                <xsd:element ref="ns2:OurDocsFileNumbers" minOccurs="0"/>
                <xsd:element ref="ns2:OurDocsLockedBy" minOccurs="0"/>
                <xsd:element ref="ns2:OurDocsLockedOnBehalfOf" minOccurs="0"/>
                <xsd:element ref="ns2:OurDocsLockedOn" minOccurs="0"/>
                <xsd:element ref="ns2:OurDocsVersionCreatedBy" minOccurs="0"/>
                <xsd:element ref="ns2:OurDocsVersionCreatedAt" minOccurs="0"/>
                <xsd:element ref="ns2:OurDocsVersionRea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e3ed02-b0cd-470d-9119-e5f1a2533a21" elementFormDefault="qualified">
    <xsd:import namespace="http://schemas.microsoft.com/office/2006/documentManagement/types"/>
    <xsd:import namespace="http://schemas.microsoft.com/office/infopath/2007/PartnerControls"/>
    <xsd:element name="OurDocsDataStore" ma:index="8" ma:displayName="DataStore" ma:internalName="OurDocsDataStore">
      <xsd:simpleType>
        <xsd:restriction base="dms:Text"/>
      </xsd:simpleType>
    </xsd:element>
    <xsd:element name="OurDocsDocId" ma:index="9" ma:displayName="DocId" ma:internalName="OurDocsDocId">
      <xsd:simpleType>
        <xsd:restriction base="dms:Text"/>
      </xsd:simpleType>
    </xsd:element>
    <xsd:element name="OurDocsVersionNumber" ma:index="10" ma:displayName="VersionNumber" ma:internalName="OurDocsVersionNumber">
      <xsd:simpleType>
        <xsd:restriction base="dms:Text"/>
      </xsd:simpleType>
    </xsd:element>
    <xsd:element name="OurDocsIsRecordsDocument" ma:index="11" nillable="true" ma:displayName="IsRecordsDocument" ma:internalName="OurDocsIsRecordsDocument">
      <xsd:simpleType>
        <xsd:restriction base="dms:Boolean"/>
      </xsd:simpleType>
    </xsd:element>
    <xsd:element name="OurDocsIsLocked" ma:index="12" nillable="true" ma:displayName="IsLocked" ma:internalName="OurDocsIsLocked">
      <xsd:simpleType>
        <xsd:restriction base="dms:Boolean"/>
      </xsd:simpleType>
    </xsd:element>
    <xsd:element name="OurDocsTitle" ma:index="13" nillable="true" ma:displayName="Title" ma:internalName="OurDocsTitle">
      <xsd:simpleType>
        <xsd:restriction base="dms:Text"/>
      </xsd:simpleType>
    </xsd:element>
    <xsd:element name="OurDocsDescription" ma:index="14" nillable="true" ma:displayName="Description" ma:internalName="OurDocsDescription">
      <xsd:simpleType>
        <xsd:restriction base="dms:Note">
          <xsd:maxLength value="255"/>
        </xsd:restriction>
      </xsd:simpleType>
    </xsd:element>
    <xsd:element name="OurDocsAuthor" ma:index="15" nillable="true" ma:displayName="Author" ma:internalName="OurDocsAuthor">
      <xsd:simpleType>
        <xsd:restriction base="dms:Text"/>
      </xsd:simpleType>
    </xsd:element>
    <xsd:element name="OurDocsLocation" ma:index="16" nillable="true" ma:displayName="Location" ma:internalName="OurDocsLocation">
      <xsd:simpleType>
        <xsd:restriction base="dms:Text"/>
      </xsd:simpleType>
    </xsd:element>
    <xsd:element name="OurDocsReleaseClassification" ma:index="17" nillable="true" ma:displayName="ReleaseClassification" ma:internalName="OurDocsReleaseClassification">
      <xsd:simpleType>
        <xsd:restriction base="dms:Choice">
          <xsd:enumeration value="Departmental Use Only"/>
          <xsd:enumeration value="Within Government Only"/>
          <xsd:enumeration value="Addressee Use Only"/>
          <xsd:enumeration value="Addressee and Within Government Only"/>
          <xsd:enumeration value="For Public Release"/>
          <xsd:enumeration value="UNKNOWN"/>
        </xsd:restriction>
      </xsd:simpleType>
    </xsd:element>
    <xsd:element name="OurDocsDocumentType" ma:index="18" nillable="true" ma:displayName="DocumentType" ma:format="Dropdown" ma:internalName="OurDocsDocumentType" ma:readOnly="false">
      <xsd:simpleType>
        <xsd:restriction base="dms:Choice">
          <xsd:enumeration value="Administration"/>
          <xsd:enumeration value="Agenda"/>
          <xsd:enumeration value="Appointment"/>
          <xsd:enumeration value="Briefing Note"/>
          <xsd:enumeration value="Certificate of Competency"/>
          <xsd:enumeration value="Corporate Executive"/>
          <xsd:enumeration value="Corporate Form"/>
          <xsd:enumeration value="Corporate Policy"/>
          <xsd:enumeration value="Corporate Procedure"/>
          <xsd:enumeration value="Document"/>
          <xsd:enumeration value="Email"/>
          <xsd:enumeration value="External Presentations"/>
          <xsd:enumeration value="External Published Document"/>
          <xsd:enumeration value="Facsimile"/>
          <xsd:enumeration value="File"/>
          <xsd:enumeration value="File Note"/>
          <xsd:enumeration value="Form"/>
          <xsd:enumeration value="Incident Report"/>
          <xsd:enumeration value="Internal Memo"/>
          <xsd:enumeration value="Internal Presentations"/>
          <xsd:enumeration value="Investigation Document"/>
          <xsd:enumeration value="Letter"/>
          <xsd:enumeration value="Map"/>
          <xsd:enumeration value="Memorandum"/>
          <xsd:enumeration value="Ministerial"/>
          <xsd:enumeration value="Minutes"/>
          <xsd:enumeration value="Other"/>
          <xsd:enumeration value="Permit"/>
          <xsd:enumeration value="Photos"/>
          <xsd:enumeration value="Policy"/>
          <xsd:enumeration value="Press Clipping"/>
          <xsd:enumeration value="Press Release"/>
          <xsd:enumeration value="Procurement"/>
          <xsd:enumeration value="Production Report"/>
          <xsd:enumeration value="Report"/>
          <xsd:enumeration value="Risk Management"/>
          <xsd:enumeration value="Royalty Audit"/>
          <xsd:enumeration value="Royalty Payment/Revenue"/>
          <xsd:enumeration value="Royalty Return"/>
          <xsd:enumeration value="Safety Bulletin"/>
          <xsd:enumeration value="Speech"/>
          <xsd:enumeration value="Training"/>
          <xsd:enumeration value="Travel"/>
          <xsd:enumeration value="Web Document"/>
        </xsd:restriction>
      </xsd:simpleType>
    </xsd:element>
    <xsd:element name="OurDocsDocumentDate" ma:index="19" nillable="true" ma:displayName="DocumentDate" ma:internalName="OurDocsDocumentDate">
      <xsd:simpleType>
        <xsd:restriction base="dms:DateTime"/>
      </xsd:simpleType>
    </xsd:element>
    <xsd:element name="OurDocsDocumentSource" ma:index="20" nillable="true" ma:displayName="DocumentSource" ma:internalName="OurDocsDocumentSource">
      <xsd:simpleType>
        <xsd:restriction base="dms:Choice">
          <xsd:enumeration value="Internal"/>
          <xsd:enumeration value="External"/>
          <xsd:enumeration value="UNKNOWN"/>
        </xsd:restriction>
      </xsd:simpleType>
    </xsd:element>
    <xsd:element name="OurDocsFileNumbers" ma:index="21" nillable="true" ma:displayName="FileNumbers" ma:internalName="OurDocsFileNumbers">
      <xsd:simpleType>
        <xsd:restriction base="dms:Note">
          <xsd:maxLength value="255"/>
        </xsd:restriction>
      </xsd:simpleType>
    </xsd:element>
    <xsd:element name="OurDocsLockedBy" ma:index="22" nillable="true" ma:displayName="LockedBy" ma:internalName="OurDocsLockedBy">
      <xsd:simpleType>
        <xsd:restriction base="dms:Text"/>
      </xsd:simpleType>
    </xsd:element>
    <xsd:element name="OurDocsLockedOnBehalfOf" ma:index="23" nillable="true" ma:displayName="LockedOnBehalfOf" ma:internalName="OurDocsLockedOnBehalfOf">
      <xsd:simpleType>
        <xsd:restriction base="dms:Text"/>
      </xsd:simpleType>
    </xsd:element>
    <xsd:element name="OurDocsLockedOn" ma:index="24" nillable="true" ma:displayName="LockedOn" ma:internalName="OurDocsLockedOn">
      <xsd:simpleType>
        <xsd:restriction base="dms:DateTime"/>
      </xsd:simpleType>
    </xsd:element>
    <xsd:element name="OurDocsVersionCreatedBy" ma:index="25" nillable="true" ma:displayName="VersionCreatedBy" ma:internalName="OurDocsVersionCreatedBy">
      <xsd:simpleType>
        <xsd:restriction base="dms:Text"/>
      </xsd:simpleType>
    </xsd:element>
    <xsd:element name="OurDocsVersionCreatedAt" ma:index="26" nillable="true" ma:displayName="VersionCreatedAt" ma:internalName="OurDocsVersionCreatedAt">
      <xsd:simpleType>
        <xsd:restriction base="dms:DateTime"/>
      </xsd:simpleType>
    </xsd:element>
    <xsd:element name="OurDocsVersionReason" ma:index="27" nillable="true" ma:displayName="VersionReason" ma:internalName="OurDocsVersionReas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0D01B7-895E-49FF-A473-31B6634DBE2E}">
  <ds:schemaRefs>
    <ds:schemaRef ds:uri="http://purl.org/dc/elements/1.1/"/>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dce3ed02-b0cd-470d-9119-e5f1a2533a21"/>
  </ds:schemaRefs>
</ds:datastoreItem>
</file>

<file path=customXml/itemProps2.xml><?xml version="1.0" encoding="utf-8"?>
<ds:datastoreItem xmlns:ds="http://schemas.openxmlformats.org/officeDocument/2006/customXml" ds:itemID="{A599F434-59E6-4DA8-8AED-B1E1306038F2}">
  <ds:schemaRefs>
    <ds:schemaRef ds:uri="Microsoft.SharePoint.Taxonomy.ContentTypeSync"/>
  </ds:schemaRefs>
</ds:datastoreItem>
</file>

<file path=customXml/itemProps3.xml><?xml version="1.0" encoding="utf-8"?>
<ds:datastoreItem xmlns:ds="http://schemas.openxmlformats.org/officeDocument/2006/customXml" ds:itemID="{665D78C8-89EB-41B1-8896-329900BCE256}">
  <ds:schemaRefs>
    <ds:schemaRef ds:uri="http://schemas.microsoft.com/sharepoint/v3/contenttype/forms"/>
  </ds:schemaRefs>
</ds:datastoreItem>
</file>

<file path=customXml/itemProps4.xml><?xml version="1.0" encoding="utf-8"?>
<ds:datastoreItem xmlns:ds="http://schemas.openxmlformats.org/officeDocument/2006/customXml" ds:itemID="{BFA0B4B5-2CBE-4E72-81B2-16C71A297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e3ed02-b0cd-470d-9119-e5f1a2533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Index</vt:lpstr>
      <vt:lpstr>Data Sources</vt:lpstr>
      <vt:lpstr>How To Use</vt:lpstr>
      <vt:lpstr>Comparison 2015 and 2016</vt:lpstr>
      <vt:lpstr>US and A$</vt:lpstr>
      <vt:lpstr>Trade Weighted Index</vt:lpstr>
      <vt:lpstr>RBA spreadsheet of Comm prices</vt:lpstr>
      <vt:lpstr>Quick Resources Facts</vt:lpstr>
      <vt:lpstr>Exports</vt:lpstr>
      <vt:lpstr>WA vs Australia vs The World</vt:lpstr>
      <vt:lpstr>Mining Investment</vt:lpstr>
      <vt:lpstr>New Capital Expenditure</vt:lpstr>
      <vt:lpstr>Mineral Exploration</vt:lpstr>
      <vt:lpstr>Min. Expl. Major Commodities</vt:lpstr>
      <vt:lpstr>Mineral Exploration Drilling</vt:lpstr>
      <vt:lpstr>Petroleum Exploration</vt:lpstr>
      <vt:lpstr>Royalty Receipts - Latest</vt:lpstr>
      <vt:lpstr>Royalties - Historic</vt:lpstr>
      <vt:lpstr>Employment by Site - Minerals</vt:lpstr>
      <vt:lpstr>Employment by Site - Petroleum</vt:lpstr>
      <vt:lpstr>Employment by commodity</vt:lpstr>
      <vt:lpstr>Calendar Year Employment</vt:lpstr>
      <vt:lpstr>Financial Year Employment</vt:lpstr>
      <vt:lpstr>Historic Employment Monthly</vt:lpstr>
      <vt:lpstr>Cal. Year Employment Pre 2000</vt:lpstr>
      <vt:lpstr>Data</vt:lpstr>
      <vt:lpstr>'Employment by Site - Minerals'!_GoBack</vt:lpstr>
      <vt:lpstr>'Comparison 2015 and 2016'!Print_Area</vt:lpstr>
      <vt:lpstr>'RBA spreadsheet of Comm prices'!Print_Area</vt:lpstr>
    </vt:vector>
  </TitlesOfParts>
  <Company>Department of Mines and Petroleum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Economic indicators resources data</dc:title>
  <dc:subject>Contains: Economic summaries, exploration and investment data, royalty receipts and employment data</dc:subject>
  <dc:creator>Matt.WEBER</dc:creator>
  <cp:lastModifiedBy>CHEAN, Wei</cp:lastModifiedBy>
  <cp:lastPrinted>2017-03-23T02:38:25Z</cp:lastPrinted>
  <dcterms:created xsi:type="dcterms:W3CDTF">2015-04-01T22:36:44Z</dcterms:created>
  <dcterms:modified xsi:type="dcterms:W3CDTF">2017-04-19T06:20:17Z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0x0101000AC6246A9CD2FC45B52DC6FEC0F0AAAA00920188900BA07345AAF278D2118AC292</vt:lpwstr>
  </property>
  <property fmtid="{D5CDD505-2E9C-101B-9397-08002B2CF9AE}" pid="3" name="DataStore">
    <vt:lpwstr>Central</vt:lpwstr>
  </property>
</Properties>
</file>